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250\Downloads\"/>
    </mc:Choice>
  </mc:AlternateContent>
  <bookViews>
    <workbookView xWindow="0" yWindow="0" windowWidth="10800" windowHeight="7995" tabRatio="714" activeTab="1"/>
  </bookViews>
  <sheets>
    <sheet name="MENU" sheetId="8" r:id="rId1"/>
    <sheet name="DATA SKP" sheetId="9" r:id="rId2"/>
    <sheet name="COVER" sheetId="10" r:id="rId3"/>
    <sheet name="FORM SKP" sheetId="1" r:id="rId4"/>
    <sheet name="PENGUKURAN" sheetId="2" r:id="rId5"/>
    <sheet name="PERILAKU KERJA" sheetId="3" r:id="rId6"/>
    <sheet name="PENILAIAN" sheetId="4" r:id="rId7"/>
    <sheet name="SOURCE" sheetId="11" state="hidden" r:id="rId8"/>
  </sheets>
  <definedNames>
    <definedName name="_xlnm.Print_Area" localSheetId="2">COVER!$A$1:$J$42</definedName>
    <definedName name="_xlnm.Print_Area" localSheetId="1">'DATA SKP'!$A$1:$E$20</definedName>
    <definedName name="_xlnm.Print_Area" localSheetId="3">'FORM SKP'!$A$1:$K$33</definedName>
    <definedName name="_xlnm.Print_Area" localSheetId="4">PENGUKURAN!$A$1:$R$33</definedName>
    <definedName name="_xlnm.Print_Area" localSheetId="6">PENILAIAN!$A$1:$J$113</definedName>
    <definedName name="_xlnm.Print_Area" localSheetId="5">'PERILAKU KERJA'!$A$1:$J$20</definedName>
    <definedName name="_xlnm.Print_Titles" localSheetId="7">SOURCE!$1:$1</definedName>
  </definedNames>
  <calcPr calcId="152511"/>
</workbook>
</file>

<file path=xl/calcChain.xml><?xml version="1.0" encoding="utf-8"?>
<calcChain xmlns="http://schemas.openxmlformats.org/spreadsheetml/2006/main">
  <c r="H19" i="3" l="1"/>
  <c r="H18" i="3"/>
  <c r="H41" i="4" l="1"/>
  <c r="H42" i="4" s="1"/>
  <c r="J42" i="4" s="1"/>
  <c r="H39" i="4"/>
  <c r="I17" i="3"/>
  <c r="I39" i="4" s="1"/>
  <c r="J2" i="11" l="1"/>
  <c r="G2" i="11"/>
  <c r="E15" i="1" l="1"/>
  <c r="E12" i="1" l="1"/>
  <c r="E10" i="9" l="1"/>
  <c r="E5" i="9" l="1"/>
  <c r="G10" i="2" l="1"/>
  <c r="N10" i="2" s="1"/>
  <c r="G11" i="2"/>
  <c r="N11" i="2" s="1"/>
  <c r="G12" i="2"/>
  <c r="N12" i="2" s="1"/>
  <c r="G13" i="2"/>
  <c r="N13" i="2" s="1"/>
  <c r="G14" i="2"/>
  <c r="N14" i="2" s="1"/>
  <c r="G15" i="2"/>
  <c r="N15" i="2" s="1"/>
  <c r="G16" i="2"/>
  <c r="N16" i="2" s="1"/>
  <c r="G17" i="2"/>
  <c r="N17" i="2" s="1"/>
  <c r="G18" i="2"/>
  <c r="N18" i="2" s="1"/>
  <c r="G19" i="2"/>
  <c r="N19" i="2" s="1"/>
  <c r="G20" i="2"/>
  <c r="N20" i="2" s="1"/>
  <c r="G21" i="2"/>
  <c r="N21" i="2" s="1"/>
  <c r="G9" i="2"/>
  <c r="N9" i="2" s="1"/>
  <c r="F10" i="2"/>
  <c r="F11" i="2"/>
  <c r="F12" i="2"/>
  <c r="F13" i="2"/>
  <c r="F14" i="2"/>
  <c r="F15" i="2"/>
  <c r="F16" i="2"/>
  <c r="F17" i="2"/>
  <c r="F18" i="2"/>
  <c r="F19" i="2"/>
  <c r="F20" i="2"/>
  <c r="F21" i="2"/>
  <c r="F9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I73" i="4" l="1"/>
  <c r="I63" i="4"/>
  <c r="H10" i="2" l="1"/>
  <c r="H11" i="2"/>
  <c r="H12" i="2"/>
  <c r="H13" i="2"/>
  <c r="H14" i="2"/>
  <c r="H15" i="2"/>
  <c r="H16" i="2"/>
  <c r="H17" i="2"/>
  <c r="H18" i="2"/>
  <c r="H19" i="2"/>
  <c r="H20" i="2"/>
  <c r="H21" i="2"/>
  <c r="E10" i="2"/>
  <c r="E11" i="2"/>
  <c r="L11" i="2" s="1"/>
  <c r="E12" i="2"/>
  <c r="L12" i="2" s="1"/>
  <c r="E13" i="2"/>
  <c r="L13" i="2" s="1"/>
  <c r="E14" i="2"/>
  <c r="L14" i="2" s="1"/>
  <c r="E15" i="2"/>
  <c r="L15" i="2" s="1"/>
  <c r="E16" i="2"/>
  <c r="L16" i="2" s="1"/>
  <c r="E17" i="2"/>
  <c r="L17" i="2" s="1"/>
  <c r="E18" i="2"/>
  <c r="L18" i="2" s="1"/>
  <c r="E19" i="2"/>
  <c r="L19" i="2" s="1"/>
  <c r="E20" i="2"/>
  <c r="L20" i="2" s="1"/>
  <c r="E21" i="2"/>
  <c r="L21" i="2" s="1"/>
  <c r="E7" i="9" l="1"/>
  <c r="H8" i="1" s="1"/>
  <c r="J3" i="11"/>
  <c r="K3" i="11"/>
  <c r="L3" i="11"/>
  <c r="M3" i="11"/>
  <c r="J4" i="11"/>
  <c r="K4" i="11"/>
  <c r="L4" i="11"/>
  <c r="M4" i="11"/>
  <c r="J5" i="11"/>
  <c r="K5" i="11"/>
  <c r="L5" i="11"/>
  <c r="M5" i="11"/>
  <c r="J6" i="11"/>
  <c r="K6" i="11"/>
  <c r="L6" i="11"/>
  <c r="M6" i="11"/>
  <c r="J7" i="11"/>
  <c r="K7" i="11"/>
  <c r="L7" i="11"/>
  <c r="M7" i="11"/>
  <c r="M2" i="11"/>
  <c r="L2" i="11"/>
  <c r="K2" i="11"/>
  <c r="E19" i="9" l="1"/>
  <c r="E18" i="9"/>
  <c r="E17" i="9"/>
  <c r="E16" i="9"/>
  <c r="I2" i="11"/>
  <c r="G3" i="11"/>
  <c r="H3" i="11"/>
  <c r="I3" i="11"/>
  <c r="G4" i="11"/>
  <c r="H4" i="11"/>
  <c r="I4" i="11"/>
  <c r="G5" i="11"/>
  <c r="H5" i="11"/>
  <c r="I5" i="11"/>
  <c r="G6" i="11"/>
  <c r="H6" i="11"/>
  <c r="I6" i="11"/>
  <c r="G7" i="11"/>
  <c r="H7" i="11"/>
  <c r="I7" i="11"/>
  <c r="H2" i="11"/>
  <c r="E11" i="9" l="1"/>
  <c r="E13" i="9"/>
  <c r="E12" i="9"/>
  <c r="C3" i="11"/>
  <c r="C4" i="11"/>
  <c r="C2" i="11"/>
  <c r="C6" i="11"/>
  <c r="C5" i="11"/>
  <c r="C7" i="11"/>
  <c r="E6" i="9" l="1"/>
  <c r="H7" i="1" s="1"/>
  <c r="G16" i="4" s="1"/>
  <c r="H9" i="1"/>
  <c r="G18" i="4" s="1"/>
  <c r="AF1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9" i="2"/>
  <c r="B9" i="2"/>
  <c r="L10" i="2"/>
  <c r="O10" i="2"/>
  <c r="AF10" i="2"/>
  <c r="J10" i="2"/>
  <c r="T10" i="2"/>
  <c r="W10" i="2"/>
  <c r="Y10" i="2"/>
  <c r="Z10" i="2"/>
  <c r="AC10" i="2"/>
  <c r="AD10" i="2"/>
  <c r="AK10" i="2"/>
  <c r="AN10" i="2" s="1"/>
  <c r="O11" i="2"/>
  <c r="AE11" i="2"/>
  <c r="J11" i="2"/>
  <c r="T11" i="2"/>
  <c r="W11" i="2"/>
  <c r="AA11" i="2" s="1"/>
  <c r="Y11" i="2"/>
  <c r="Z11" i="2"/>
  <c r="AC11" i="2"/>
  <c r="AD11" i="2"/>
  <c r="AK11" i="2"/>
  <c r="AN11" i="2" s="1"/>
  <c r="O12" i="2"/>
  <c r="J12" i="2"/>
  <c r="T12" i="2"/>
  <c r="W12" i="2"/>
  <c r="Y12" i="2"/>
  <c r="Z12" i="2"/>
  <c r="AC12" i="2"/>
  <c r="AD12" i="2"/>
  <c r="AK12" i="2"/>
  <c r="AN12" i="2" s="1"/>
  <c r="AE13" i="2"/>
  <c r="J13" i="2"/>
  <c r="O13" i="2"/>
  <c r="T13" i="2"/>
  <c r="W13" i="2"/>
  <c r="Y13" i="2"/>
  <c r="Z13" i="2"/>
  <c r="AC13" i="2"/>
  <c r="AD13" i="2"/>
  <c r="AK13" i="2"/>
  <c r="AN13" i="2" s="1"/>
  <c r="C14" i="2"/>
  <c r="O14" i="2"/>
  <c r="AF14" i="2"/>
  <c r="J14" i="2"/>
  <c r="T14" i="2"/>
  <c r="W14" i="2"/>
  <c r="Y14" i="2"/>
  <c r="Z14" i="2"/>
  <c r="AC14" i="2"/>
  <c r="AD14" i="2"/>
  <c r="AK14" i="2"/>
  <c r="AN14" i="2" s="1"/>
  <c r="O15" i="2"/>
  <c r="AE15" i="2"/>
  <c r="J15" i="2"/>
  <c r="T15" i="2"/>
  <c r="W15" i="2"/>
  <c r="AA15" i="2" s="1"/>
  <c r="Y15" i="2"/>
  <c r="Z15" i="2"/>
  <c r="AC15" i="2"/>
  <c r="AD15" i="2"/>
  <c r="AK15" i="2"/>
  <c r="AN15" i="2" s="1"/>
  <c r="O16" i="2"/>
  <c r="AL16" i="2"/>
  <c r="J16" i="2"/>
  <c r="T16" i="2"/>
  <c r="W16" i="2"/>
  <c r="AA16" i="2" s="1"/>
  <c r="Y16" i="2"/>
  <c r="Z16" i="2"/>
  <c r="AC16" i="2"/>
  <c r="AD16" i="2"/>
  <c r="AK16" i="2"/>
  <c r="AM16" i="2" s="1"/>
  <c r="O17" i="2"/>
  <c r="J17" i="2"/>
  <c r="T17" i="2"/>
  <c r="W17" i="2"/>
  <c r="AA17" i="2" s="1"/>
  <c r="Y17" i="2"/>
  <c r="Z17" i="2"/>
  <c r="AC17" i="2"/>
  <c r="AD17" i="2"/>
  <c r="AE17" i="2"/>
  <c r="AK17" i="2"/>
  <c r="AN17" i="2" s="1"/>
  <c r="C18" i="2"/>
  <c r="O18" i="2"/>
  <c r="AL18" i="2"/>
  <c r="J18" i="2"/>
  <c r="T18" i="2"/>
  <c r="W18" i="2"/>
  <c r="AA18" i="2" s="1"/>
  <c r="Y18" i="2"/>
  <c r="Z18" i="2"/>
  <c r="AC18" i="2"/>
  <c r="AD18" i="2"/>
  <c r="AE18" i="2"/>
  <c r="AK18" i="2"/>
  <c r="AN18" i="2" s="1"/>
  <c r="O19" i="2"/>
  <c r="AE19" i="2"/>
  <c r="T19" i="2"/>
  <c r="W19" i="2"/>
  <c r="Y19" i="2"/>
  <c r="Z19" i="2"/>
  <c r="AC19" i="2"/>
  <c r="AD19" i="2"/>
  <c r="AK19" i="2"/>
  <c r="AN19" i="2" s="1"/>
  <c r="O20" i="2"/>
  <c r="AL20" i="2"/>
  <c r="T20" i="2"/>
  <c r="W20" i="2"/>
  <c r="Y20" i="2"/>
  <c r="Z20" i="2"/>
  <c r="AC20" i="2"/>
  <c r="AD20" i="2"/>
  <c r="AK20" i="2"/>
  <c r="AN20" i="2" s="1"/>
  <c r="O21" i="2"/>
  <c r="AF21" i="2"/>
  <c r="T21" i="2"/>
  <c r="W21" i="2"/>
  <c r="AA21" i="2" s="1"/>
  <c r="Y21" i="2"/>
  <c r="Z21" i="2"/>
  <c r="AC21" i="2"/>
  <c r="AD21" i="2"/>
  <c r="AK21" i="2"/>
  <c r="AN21" i="2" s="1"/>
  <c r="E18" i="1"/>
  <c r="C15" i="2" s="1"/>
  <c r="E19" i="1"/>
  <c r="C16" i="2" s="1"/>
  <c r="E20" i="1"/>
  <c r="C17" i="2" s="1"/>
  <c r="E21" i="1"/>
  <c r="C12" i="2"/>
  <c r="E16" i="1"/>
  <c r="C13" i="2" s="1"/>
  <c r="E22" i="1"/>
  <c r="E23" i="1"/>
  <c r="T30" i="2"/>
  <c r="F18" i="10"/>
  <c r="H34" i="4"/>
  <c r="H37" i="4"/>
  <c r="H36" i="4"/>
  <c r="G30" i="4"/>
  <c r="G29" i="4"/>
  <c r="Z9" i="2"/>
  <c r="J9" i="2"/>
  <c r="X9" i="2"/>
  <c r="AB9" i="2"/>
  <c r="H9" i="2"/>
  <c r="O9" i="2" s="1"/>
  <c r="W9" i="2"/>
  <c r="AA9" i="2" s="1"/>
  <c r="E9" i="2"/>
  <c r="L9" i="2" s="1"/>
  <c r="Y9" i="2"/>
  <c r="C11" i="2"/>
  <c r="E13" i="1"/>
  <c r="C10" i="2" s="1"/>
  <c r="C9" i="2"/>
  <c r="G21" i="4"/>
  <c r="H93" i="4" s="1"/>
  <c r="A11" i="4"/>
  <c r="I11" i="4"/>
  <c r="G26" i="4"/>
  <c r="H111" i="4" s="1"/>
  <c r="G27" i="4"/>
  <c r="H112" i="4" s="1"/>
  <c r="G28" i="4"/>
  <c r="H5" i="1"/>
  <c r="D3" i="3" s="1"/>
  <c r="H6" i="1"/>
  <c r="D4" i="3" s="1"/>
  <c r="G17" i="4"/>
  <c r="C5" i="1"/>
  <c r="A29" i="1" s="1"/>
  <c r="M32" i="2" s="1"/>
  <c r="C6" i="1"/>
  <c r="A30" i="1" s="1"/>
  <c r="M33" i="2" s="1"/>
  <c r="C7" i="1"/>
  <c r="G22" i="4" s="1"/>
  <c r="C8" i="1"/>
  <c r="G23" i="4" s="1"/>
  <c r="C9" i="1"/>
  <c r="G24" i="4" s="1"/>
  <c r="B9" i="3"/>
  <c r="F19" i="10"/>
  <c r="F21" i="10"/>
  <c r="F22" i="10"/>
  <c r="H35" i="4"/>
  <c r="H38" i="4"/>
  <c r="I40" i="4"/>
  <c r="I16" i="3"/>
  <c r="I38" i="4" s="1"/>
  <c r="I15" i="3"/>
  <c r="I37" i="4" s="1"/>
  <c r="I14" i="3"/>
  <c r="I36" i="4" s="1"/>
  <c r="I13" i="3"/>
  <c r="I35" i="4" s="1"/>
  <c r="I12" i="3"/>
  <c r="I34" i="4" s="1"/>
  <c r="F34" i="4"/>
  <c r="F35" i="4"/>
  <c r="F36" i="4"/>
  <c r="F37" i="4"/>
  <c r="F38" i="4"/>
  <c r="F39" i="4"/>
  <c r="T9" i="2"/>
  <c r="AC9" i="2"/>
  <c r="AK9" i="2"/>
  <c r="AN9" i="2" s="1"/>
  <c r="AD9" i="2"/>
  <c r="X10" i="2"/>
  <c r="AB10" i="2" s="1"/>
  <c r="X14" i="2"/>
  <c r="AB14" i="2" s="1"/>
  <c r="AF18" i="2"/>
  <c r="X18" i="2"/>
  <c r="AB18" i="2" s="1"/>
  <c r="AL15" i="2"/>
  <c r="AL14" i="2"/>
  <c r="AF11" i="2"/>
  <c r="AF16" i="2"/>
  <c r="AE16" i="2"/>
  <c r="X16" i="2"/>
  <c r="AB16" i="2" s="1"/>
  <c r="X15" i="2"/>
  <c r="AB15" i="2"/>
  <c r="X11" i="2"/>
  <c r="AB11" i="2" s="1"/>
  <c r="AF15" i="2"/>
  <c r="AE9" i="2"/>
  <c r="AL9" i="2"/>
  <c r="AF9" i="2"/>
  <c r="AL11" i="2"/>
  <c r="AE10" i="2"/>
  <c r="AL13" i="2"/>
  <c r="AF13" i="2"/>
  <c r="AE14" i="2"/>
  <c r="X13" i="2"/>
  <c r="AB13" i="2"/>
  <c r="AL10" i="2"/>
  <c r="AF20" i="2"/>
  <c r="AE20" i="2"/>
  <c r="X20" i="2"/>
  <c r="AB20" i="2" s="1"/>
  <c r="AE21" i="2"/>
  <c r="X21" i="2"/>
  <c r="AB21" i="2" s="1"/>
  <c r="X12" i="2"/>
  <c r="AB12" i="2" s="1"/>
  <c r="AL12" i="2"/>
  <c r="AE12" i="2"/>
  <c r="AF12" i="2"/>
  <c r="AL21" i="2"/>
  <c r="X17" i="2"/>
  <c r="AB17" i="2" s="1"/>
  <c r="AF17" i="2"/>
  <c r="AL17" i="2"/>
  <c r="AM17" i="2"/>
  <c r="X19" i="2"/>
  <c r="AB19" i="2" s="1"/>
  <c r="AL19" i="2"/>
  <c r="AM19" i="2" s="1"/>
  <c r="AM11" i="2"/>
  <c r="AA10" i="2"/>
  <c r="AA20" i="2"/>
  <c r="AG15" i="2"/>
  <c r="Q15" i="2" s="1"/>
  <c r="R15" i="2" s="1"/>
  <c r="U15" i="2" s="1"/>
  <c r="AM12" i="2"/>
  <c r="F20" i="10" l="1"/>
  <c r="AG11" i="2"/>
  <c r="Q11" i="2" s="1"/>
  <c r="R11" i="2" s="1"/>
  <c r="U11" i="2" s="1"/>
  <c r="AM21" i="2"/>
  <c r="AO21" i="2" s="1"/>
  <c r="AG20" i="2"/>
  <c r="Q20" i="2" s="1"/>
  <c r="R20" i="2" s="1"/>
  <c r="U20" i="2" s="1"/>
  <c r="AG21" i="2"/>
  <c r="Q21" i="2" s="1"/>
  <c r="R21" i="2" s="1"/>
  <c r="U21" i="2" s="1"/>
  <c r="AG16" i="2"/>
  <c r="Q16" i="2" s="1"/>
  <c r="R16" i="2" s="1"/>
  <c r="U16" i="2" s="1"/>
  <c r="AG9" i="2"/>
  <c r="Q9" i="2" s="1"/>
  <c r="R9" i="2" s="1"/>
  <c r="U9" i="2" s="1"/>
  <c r="AA13" i="2"/>
  <c r="AG10" i="2"/>
  <c r="Q10" i="2" s="1"/>
  <c r="R10" i="2" s="1"/>
  <c r="U10" i="2" s="1"/>
  <c r="AA19" i="2"/>
  <c r="AG19" i="2" s="1"/>
  <c r="Q19" i="2" s="1"/>
  <c r="R19" i="2" s="1"/>
  <c r="U19" i="2" s="1"/>
  <c r="AA14" i="2"/>
  <c r="AG14" i="2" s="1"/>
  <c r="Q14" i="2" s="1"/>
  <c r="R14" i="2" s="1"/>
  <c r="U14" i="2" s="1"/>
  <c r="AG13" i="2"/>
  <c r="Q13" i="2" s="1"/>
  <c r="R13" i="2" s="1"/>
  <c r="U13" i="2" s="1"/>
  <c r="AG18" i="2"/>
  <c r="Q18" i="2" s="1"/>
  <c r="R18" i="2" s="1"/>
  <c r="U18" i="2" s="1"/>
  <c r="AG17" i="2"/>
  <c r="Q17" i="2" s="1"/>
  <c r="R17" i="2" s="1"/>
  <c r="U17" i="2" s="1"/>
  <c r="AA12" i="2"/>
  <c r="AG12" i="2" s="1"/>
  <c r="Q12" i="2" s="1"/>
  <c r="R12" i="2" s="1"/>
  <c r="U12" i="2" s="1"/>
  <c r="AN16" i="2"/>
  <c r="AO16" i="2" s="1"/>
  <c r="AM9" i="2"/>
  <c r="AO9" i="2" s="1"/>
  <c r="AM15" i="2"/>
  <c r="AO15" i="2" s="1"/>
  <c r="AM18" i="2"/>
  <c r="AO18" i="2" s="1"/>
  <c r="AO17" i="2"/>
  <c r="AM10" i="2"/>
  <c r="AO10" i="2" s="1"/>
  <c r="AM13" i="2"/>
  <c r="AO13" i="2" s="1"/>
  <c r="AM20" i="2"/>
  <c r="AO20" i="2" s="1"/>
  <c r="AM14" i="2"/>
  <c r="AO14" i="2" s="1"/>
  <c r="AO12" i="2"/>
  <c r="AO19" i="2"/>
  <c r="T25" i="2"/>
  <c r="AO11" i="2"/>
  <c r="I19" i="3"/>
  <c r="I41" i="4" s="1"/>
  <c r="H40" i="4"/>
  <c r="G29" i="1"/>
  <c r="G14" i="4"/>
  <c r="B102" i="4" s="1"/>
  <c r="J12" i="3"/>
  <c r="J17" i="3"/>
  <c r="G20" i="4"/>
  <c r="H92" i="4" s="1"/>
  <c r="G15" i="4"/>
  <c r="B103" i="4" s="1"/>
  <c r="J16" i="3"/>
  <c r="G30" i="1"/>
  <c r="R25" i="2" l="1"/>
  <c r="E10" i="3" s="1"/>
  <c r="H32" i="4" s="1"/>
  <c r="J32" i="4" l="1"/>
  <c r="J43" i="4" s="1"/>
  <c r="J44" i="4" s="1"/>
  <c r="R26" i="2"/>
</calcChain>
</file>

<file path=xl/sharedStrings.xml><?xml version="1.0" encoding="utf-8"?>
<sst xmlns="http://schemas.openxmlformats.org/spreadsheetml/2006/main" count="360" uniqueCount="188">
  <si>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</si>
  <si>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</si>
  <si>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</si>
  <si>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</si>
  <si>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</si>
  <si>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</si>
  <si>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</si>
  <si>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</si>
  <si>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</si>
  <si>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</si>
  <si>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</si>
  <si>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</si>
  <si>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</si>
  <si>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</si>
  <si>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</si>
  <si>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</si>
  <si>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</si>
  <si>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</si>
  <si>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</si>
  <si>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</si>
  <si>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</si>
  <si>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</si>
  <si>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</si>
  <si>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</si>
  <si>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</si>
  <si>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</si>
  <si>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</si>
  <si>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</si>
  <si>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kuantitas</t>
  </si>
  <si>
    <t>kualitas</t>
  </si>
  <si>
    <t>waktu</t>
  </si>
  <si>
    <t>biaya</t>
  </si>
  <si>
    <t>(76-((((1.76*G8-N8)/G8)*100)-100))</t>
  </si>
  <si>
    <t>persen waktu</t>
  </si>
  <si>
    <t>persen biaya</t>
  </si>
  <si>
    <t>(1.76*G8-N8)/G8)*100)</t>
  </si>
  <si>
    <t>RW&lt;24</t>
  </si>
  <si>
    <t>RW&gt;24</t>
  </si>
  <si>
    <t>RB&lt;24</t>
  </si>
  <si>
    <t>RB&gt;24</t>
  </si>
  <si>
    <t>II. TUGAS TAMBAHAN DAN KREATIVITAS :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</si>
  <si>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</si>
  <si>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</si>
  <si>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</si>
  <si>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</si>
  <si>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</si>
  <si>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</si>
  <si>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Orientasi Pelayanan</t>
  </si>
  <si>
    <t>Integritas</t>
  </si>
  <si>
    <t>Komitmen</t>
  </si>
  <si>
    <t>Disiplin</t>
  </si>
  <si>
    <t>Kerjasama</t>
  </si>
  <si>
    <t>Kepemimpinan</t>
  </si>
  <si>
    <t>=</t>
  </si>
  <si>
    <t>Jumlah</t>
  </si>
  <si>
    <t>Nilai Rata-rata</t>
  </si>
  <si>
    <t>Nama/NIP dan Paraf                       Pejabat Penilai</t>
  </si>
  <si>
    <t>PENILAIAN PRESTASI KERJA</t>
  </si>
  <si>
    <t>PEGAWAI NEGERI SIPIL</t>
  </si>
  <si>
    <t>JANGKA WAKTU PENILAIAN</t>
  </si>
  <si>
    <t>YANG DINILAI</t>
  </si>
  <si>
    <t>N A M A</t>
  </si>
  <si>
    <t>a.</t>
  </si>
  <si>
    <t>Pangkat, golongan ruang</t>
  </si>
  <si>
    <t>Jabatan/Pekerjaan</t>
  </si>
  <si>
    <t>Unit Organisasi</t>
  </si>
  <si>
    <t>b.</t>
  </si>
  <si>
    <t>c.</t>
  </si>
  <si>
    <t>d.</t>
  </si>
  <si>
    <t>e.</t>
  </si>
  <si>
    <t>PEJABAT PENILAI</t>
  </si>
  <si>
    <t>ATASAN PEJABAT PENILAI</t>
  </si>
  <si>
    <t>:</t>
  </si>
  <si>
    <t>UNSUR YANG DINILAI</t>
  </si>
  <si>
    <t xml:space="preserve">a. </t>
  </si>
  <si>
    <t>1.</t>
  </si>
  <si>
    <t>2.</t>
  </si>
  <si>
    <t>3.</t>
  </si>
  <si>
    <t>5.</t>
  </si>
  <si>
    <t>6.</t>
  </si>
  <si>
    <t>Nilai Perilaku kerja</t>
  </si>
  <si>
    <t>Perilaku Kerja</t>
  </si>
  <si>
    <t>JUMLAH</t>
  </si>
  <si>
    <t>Nilai Prestasi Kerja</t>
  </si>
  <si>
    <t>KEBERATAN DARI PEGAWAI NEGERI SIPIL</t>
  </si>
  <si>
    <t>YANG DINILAI (APABILA ADA)</t>
  </si>
  <si>
    <t>TANGGAPAN PEJABAT PENILAI ATAS KEBERATAN</t>
  </si>
  <si>
    <t>KEPUTUSAN ATASAN PEJABAT PENILAI ATAS</t>
  </si>
  <si>
    <t>KEBERATAN</t>
  </si>
  <si>
    <t>REKOMENDASI</t>
  </si>
  <si>
    <t>PEGAWAI NEGERI SIPIL YANG</t>
  </si>
  <si>
    <t>DINILAI,</t>
  </si>
  <si>
    <t>ATASAN PEJABAT YANG MENILAI</t>
  </si>
  <si>
    <t>Kual/  Mutu</t>
  </si>
  <si>
    <t>11.</t>
  </si>
  <si>
    <t>9.</t>
  </si>
  <si>
    <t>10.</t>
  </si>
  <si>
    <t>8.</t>
  </si>
  <si>
    <t>7.</t>
  </si>
  <si>
    <t>4.</t>
  </si>
  <si>
    <t xml:space="preserve">  X   60%</t>
  </si>
  <si>
    <t xml:space="preserve"> X   40%</t>
  </si>
  <si>
    <t>Sasaran Kerja Pegawai (SKP)</t>
  </si>
  <si>
    <t>DATA SASARAN KERJA PEGAWAI</t>
  </si>
  <si>
    <t>Nama Pegawai</t>
  </si>
  <si>
    <t>Jangka Waktu Penilaian</t>
  </si>
  <si>
    <t xml:space="preserve">Jangka Waktu Penilaian </t>
  </si>
  <si>
    <t>I. KEGIATAN TUGAS JABATAN</t>
  </si>
  <si>
    <t>Penata / III/c</t>
  </si>
  <si>
    <t>Kepala Sub Bagian Keuangan dan Kepegawaian</t>
  </si>
  <si>
    <t>Politeknik Perkapalan Negeri Surabaya</t>
  </si>
  <si>
    <t>Mursiatin, S.Sos.</t>
  </si>
  <si>
    <t>196709261989022001</t>
  </si>
  <si>
    <t>Penata Tingkat I / III/d</t>
  </si>
  <si>
    <t>Kepala Bagian Umum dan Keuangan</t>
  </si>
  <si>
    <t>Mardi Santoso, ST., M.Eng.Sc.</t>
  </si>
  <si>
    <t>197804022003121002</t>
  </si>
  <si>
    <t>Wakil Direktur II</t>
  </si>
  <si>
    <t>GolRuang</t>
  </si>
  <si>
    <t>III/c</t>
  </si>
  <si>
    <t>Avy Luthfiana, SS.</t>
  </si>
  <si>
    <t>197811052001122001</t>
  </si>
  <si>
    <t>Indah Setyowati, SST.</t>
  </si>
  <si>
    <t>197302181999032001</t>
  </si>
  <si>
    <t>III/d</t>
  </si>
  <si>
    <t>Kepala Sub Bagian Akademik</t>
  </si>
  <si>
    <t>Mustofa, ST.</t>
  </si>
  <si>
    <t>197112121992031001</t>
  </si>
  <si>
    <t>Kepala Sub Bagian Umum</t>
  </si>
  <si>
    <t>Kepala Bagian Akademik dan PSI</t>
  </si>
  <si>
    <t>Wakil Direktur I</t>
  </si>
  <si>
    <t>George Endri Kusuma, ST., MSc.Eng.</t>
  </si>
  <si>
    <t>197605172009121003</t>
  </si>
  <si>
    <t>196501231991031002</t>
  </si>
  <si>
    <t>Direktur</t>
  </si>
  <si>
    <t>Wakil Direktur III</t>
  </si>
  <si>
    <t>nama_yang.dinilai</t>
  </si>
  <si>
    <t>nip_yang.dinilai</t>
  </si>
  <si>
    <t>pangkat_yang.dinilai</t>
  </si>
  <si>
    <t>jabatan_yang.dinilai</t>
  </si>
  <si>
    <t>nama_pejabat.penilai</t>
  </si>
  <si>
    <t>nip_pejabat.penilai</t>
  </si>
  <si>
    <t>pangkat_pejabat.penilai</t>
  </si>
  <si>
    <t>jabatan_pejabat.penilai</t>
  </si>
  <si>
    <t>jabatan_atasan.pejabat.penilai</t>
  </si>
  <si>
    <t>pangkat_atasan.pejabat.penilai</t>
  </si>
  <si>
    <t>nip_atasan.pejabat.penilai</t>
  </si>
  <si>
    <t>nama_atasan.pejabat.penilai</t>
  </si>
  <si>
    <t>Ketua Jurusan Teknik Kelistrikan Kapal</t>
  </si>
  <si>
    <t>Ketua Jurusan Teknik Bangunan Kapal</t>
  </si>
  <si>
    <t>Ketua Jurusan Teknik Permesinan Kapal</t>
  </si>
  <si>
    <t>Kepala Sub Bagian Perencanaan dan Sistem Informasi</t>
  </si>
  <si>
    <t>nama</t>
  </si>
  <si>
    <t>nip</t>
  </si>
  <si>
    <t>pangkat</t>
  </si>
  <si>
    <t>jabatan</t>
  </si>
  <si>
    <t>Pembina Tingkat I / IV/b</t>
  </si>
  <si>
    <t>nama_atasan</t>
  </si>
  <si>
    <t>nip_atasan</t>
  </si>
  <si>
    <t>pangkat_atasan</t>
  </si>
  <si>
    <t>jabatan_atasan</t>
  </si>
  <si>
    <t>Kepala Bagian Akademik, Perencanaan dan Sistem Informasi</t>
  </si>
  <si>
    <t>Pangkat / Golongan Ruang</t>
  </si>
  <si>
    <t>Pangkat / Gol.Ruang</t>
  </si>
  <si>
    <t>Ir. Eko Julianto, M.Sc., FRINA</t>
  </si>
  <si>
    <t>Ruddianto, ST., MT.</t>
  </si>
  <si>
    <t>196910151995011001</t>
  </si>
  <si>
    <t>Mohammad Basuki Rahmat, ST., MT.</t>
  </si>
  <si>
    <t>197305222000031001</t>
  </si>
  <si>
    <t>Yeni Astuti, ST.</t>
  </si>
  <si>
    <t>196401011988032001</t>
  </si>
  <si>
    <t>Fitriana Hari Astuti, S.Sos.</t>
  </si>
  <si>
    <t>197510012000032001</t>
  </si>
  <si>
    <t>KEMENTERIAN PENDIDIKAN DAN KEBUDAYAAN</t>
  </si>
  <si>
    <t>Surabaya, 2 Januari 2020</t>
  </si>
  <si>
    <t>Dr. Eng. Muh. Anis Mustaghfirin, ST., MT.</t>
  </si>
  <si>
    <t>197208051997021001</t>
  </si>
  <si>
    <t>Ir. Arie Indartono, M.MT.</t>
  </si>
  <si>
    <t>196601151991031003</t>
  </si>
  <si>
    <t>Januari s.d. Juni 2020</t>
  </si>
  <si>
    <t>TAHUN 2020</t>
  </si>
  <si>
    <t>1 Januari s.d. 30 Juni 2020</t>
  </si>
  <si>
    <t>Surabaya, 1 Juli 2020</t>
  </si>
  <si>
    <t>Penilaian SKP sampai dengan akhir Juni 2020 =</t>
  </si>
  <si>
    <t>Tanggal 1 Juli 2020</t>
  </si>
  <si>
    <t>DIBUAT TANGGAL, 1 Juli 2020</t>
  </si>
  <si>
    <t>DITERIMA TANGGAL, 2 Juli 2020</t>
  </si>
  <si>
    <t>DITERIMA TANGGAL, 3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</si>
</sst>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mbria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sz val="11"/>
      <name val="Cambria"/>
      <family val="1"/>
      <scheme val="major"/>
    </font>
    <font>
      <sz val="14"/>
      <name val="Cambria"/>
      <family val="1"/>
      <scheme val="major"/>
    </font>
    <font>
      <u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1BB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7" fontId="6" fillId="0" borderId="0" xfId="0" quotePrefix="1" applyNumberFormat="1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2" fillId="0" borderId="1" xfId="0" quotePrefix="1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64" fontId="9" fillId="0" borderId="15" xfId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4" xfId="0" quotePrefix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6" fontId="12" fillId="0" borderId="0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5" fontId="10" fillId="0" borderId="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quotePrefix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2"/>
    </xf>
    <xf numFmtId="0" fontId="6" fillId="0" borderId="12" xfId="0" quotePrefix="1" applyFont="1" applyBorder="1" applyAlignment="1">
      <alignment horizontal="left" vertical="center" indent="2"/>
    </xf>
    <xf numFmtId="0" fontId="6" fillId="0" borderId="11" xfId="0" quotePrefix="1" applyFont="1" applyBorder="1" applyAlignment="1">
      <alignment horizontal="left" vertical="center" indent="2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2" applyFont="1"/>
    <xf numFmtId="0" fontId="24" fillId="0" borderId="24" xfId="2" applyFont="1" applyFill="1" applyBorder="1" applyAlignment="1">
      <alignment vertical="center"/>
    </xf>
    <xf numFmtId="0" fontId="24" fillId="3" borderId="24" xfId="2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Fill="1" applyAlignment="1">
      <alignment vertical="center"/>
    </xf>
    <xf numFmtId="0" fontId="24" fillId="4" borderId="24" xfId="2" applyFont="1" applyFill="1" applyBorder="1" applyAlignment="1">
      <alignment vertical="center"/>
    </xf>
    <xf numFmtId="0" fontId="24" fillId="0" borderId="26" xfId="2" applyFont="1" applyFill="1" applyBorder="1" applyAlignment="1">
      <alignment vertical="center"/>
    </xf>
    <xf numFmtId="0" fontId="24" fillId="0" borderId="25" xfId="2" applyFont="1" applyFill="1" applyBorder="1" applyAlignment="1">
      <alignment vertical="center"/>
    </xf>
    <xf numFmtId="0" fontId="22" fillId="0" borderId="27" xfId="2" applyFont="1" applyFill="1" applyBorder="1" applyAlignment="1">
      <alignment vertical="center"/>
    </xf>
    <xf numFmtId="0" fontId="24" fillId="3" borderId="26" xfId="2" applyFont="1" applyFill="1" applyBorder="1" applyAlignment="1">
      <alignment vertical="center"/>
    </xf>
    <xf numFmtId="0" fontId="24" fillId="3" borderId="25" xfId="2" applyFont="1" applyFill="1" applyBorder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26" fillId="3" borderId="0" xfId="0" quotePrefix="1" applyFont="1" applyFill="1"/>
    <xf numFmtId="0" fontId="26" fillId="3" borderId="0" xfId="2" quotePrefix="1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1"/>
    </xf>
    <xf numFmtId="0" fontId="6" fillId="0" borderId="1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 indent="8"/>
    </xf>
    <xf numFmtId="2" fontId="6" fillId="2" borderId="0" xfId="0" applyNumberFormat="1" applyFont="1" applyFill="1" applyBorder="1" applyAlignment="1">
      <alignment horizontal="center" vertical="center"/>
    </xf>
    <xf numFmtId="0" fontId="5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quotePrefix="1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9" fillId="2" borderId="9" xfId="0" applyFont="1" applyFill="1" applyBorder="1" applyAlignment="1" applyProtection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indent="1"/>
    </xf>
    <xf numFmtId="0" fontId="24" fillId="0" borderId="29" xfId="2" applyFont="1" applyFill="1" applyBorder="1" applyAlignment="1">
      <alignment vertical="center"/>
    </xf>
    <xf numFmtId="0" fontId="24" fillId="4" borderId="29" xfId="2" applyFont="1" applyFill="1" applyBorder="1" applyAlignment="1">
      <alignment vertical="center"/>
    </xf>
    <xf numFmtId="0" fontId="24" fillId="0" borderId="30" xfId="2" applyFont="1" applyFill="1" applyBorder="1" applyAlignment="1">
      <alignment vertical="center"/>
    </xf>
    <xf numFmtId="0" fontId="24" fillId="3" borderId="31" xfId="2" applyFont="1" applyFill="1" applyBorder="1" applyAlignment="1">
      <alignment vertical="center"/>
    </xf>
    <xf numFmtId="0" fontId="24" fillId="3" borderId="29" xfId="2" applyFont="1" applyFill="1" applyBorder="1" applyAlignment="1">
      <alignment vertical="center"/>
    </xf>
    <xf numFmtId="0" fontId="24" fillId="3" borderId="30" xfId="2" applyFont="1" applyFill="1" applyBorder="1" applyAlignment="1">
      <alignment vertical="center"/>
    </xf>
    <xf numFmtId="0" fontId="24" fillId="0" borderId="31" xfId="2" applyFont="1" applyFill="1" applyBorder="1" applyAlignment="1">
      <alignment vertical="center"/>
    </xf>
    <xf numFmtId="0" fontId="24" fillId="0" borderId="28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3" fillId="0" borderId="0" xfId="2" applyFont="1" applyFill="1"/>
    <xf numFmtId="2" fontId="6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/>
    </xf>
    <xf numFmtId="0" fontId="18" fillId="5" borderId="0" xfId="0" applyFont="1" applyFill="1" applyAlignment="1">
      <alignment horizontal="center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5" fontId="6" fillId="0" borderId="7" xfId="0" quotePrefix="1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5" fontId="6" fillId="0" borderId="0" xfId="0" quotePrefix="1" applyNumberFormat="1" applyFont="1" applyBorder="1" applyAlignment="1">
      <alignment horizontal="center" vertical="top" wrapText="1"/>
    </xf>
    <xf numFmtId="15" fontId="6" fillId="0" borderId="8" xfId="0" quotePrefix="1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165" fontId="13" fillId="0" borderId="11" xfId="0" applyNumberFormat="1" applyFont="1" applyBorder="1" applyAlignment="1">
      <alignment horizontal="right" vertical="center"/>
    </xf>
    <xf numFmtId="165" fontId="13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66"/>
      <color rgb="FF61BBFF"/>
      <color rgb="FF4FB4FF"/>
      <color rgb="FF21A0FF"/>
      <color rgb="FF2A65AC"/>
      <color rgb="FF3176C9"/>
      <color rgb="FF8089DA"/>
      <color rgb="FF193C83"/>
      <color rgb="FF83C7D7"/>
      <color rgb="FF296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NGUKURAN!A1"/><Relationship Id="rId2" Type="http://schemas.openxmlformats.org/officeDocument/2006/relationships/hyperlink" Target="#'FORM SKP'!A1"/><Relationship Id="rId1" Type="http://schemas.openxmlformats.org/officeDocument/2006/relationships/hyperlink" Target="#'DATA SKP'!A1"/><Relationship Id="rId6" Type="http://schemas.openxmlformats.org/officeDocument/2006/relationships/hyperlink" Target="#COVER!A1"/><Relationship Id="rId5" Type="http://schemas.openxmlformats.org/officeDocument/2006/relationships/hyperlink" Target="#PENILAIAN!A1"/><Relationship Id="rId4" Type="http://schemas.openxmlformats.org/officeDocument/2006/relationships/hyperlink" Target="#'PERILAKU K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0</xdr:row>
      <xdr:rowOff>93662</xdr:rowOff>
    </xdr:from>
    <xdr:to>
      <xdr:col>8</xdr:col>
      <xdr:colOff>109537</xdr:colOff>
      <xdr:row>5</xdr:row>
      <xdr:rowOff>128587</xdr:rowOff>
    </xdr:to>
    <xdr:sp macro="" textlink="">
      <xdr:nvSpPr>
        <xdr:cNvPr id="2" name="Rectangle 1"/>
        <xdr:cNvSpPr/>
      </xdr:nvSpPr>
      <xdr:spPr>
        <a:xfrm>
          <a:off x="633412" y="93662"/>
          <a:ext cx="4581525" cy="844550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KERJA</a:t>
          </a:r>
        </a:p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PEGAWAI NEGERI SIPIL</a:t>
          </a:r>
        </a:p>
      </xdr:txBody>
    </xdr:sp>
    <xdr:clientData/>
  </xdr:twoCellAnchor>
  <xdr:twoCellAnchor>
    <xdr:from>
      <xdr:col>0</xdr:col>
      <xdr:colOff>614361</xdr:colOff>
      <xdr:row>7</xdr:row>
      <xdr:rowOff>7937</xdr:rowOff>
    </xdr:from>
    <xdr:to>
      <xdr:col>8</xdr:col>
      <xdr:colOff>90486</xdr:colOff>
      <xdr:row>9</xdr:row>
      <xdr:rowOff>119062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14361" y="1119187"/>
          <a:ext cx="455612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DATA</a:t>
          </a:r>
          <a:r>
            <a:rPr lang="id-ID" sz="1800" b="0" cap="none" spc="0" baseline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SASARAN KERJA PEGAWAI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612774</xdr:colOff>
      <xdr:row>13</xdr:row>
      <xdr:rowOff>77787</xdr:rowOff>
    </xdr:from>
    <xdr:to>
      <xdr:col>8</xdr:col>
      <xdr:colOff>107949</xdr:colOff>
      <xdr:row>16</xdr:row>
      <xdr:rowOff>30162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612774" y="2141537"/>
          <a:ext cx="4575175" cy="42862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FORMULIR SKP</a:t>
          </a:r>
        </a:p>
      </xdr:txBody>
    </xdr:sp>
    <xdr:clientData/>
  </xdr:twoCellAnchor>
  <xdr:twoCellAnchor>
    <xdr:from>
      <xdr:col>0</xdr:col>
      <xdr:colOff>604837</xdr:colOff>
      <xdr:row>16</xdr:row>
      <xdr:rowOff>133381</xdr:rowOff>
    </xdr:from>
    <xdr:to>
      <xdr:col>8</xdr:col>
      <xdr:colOff>100012</xdr:colOff>
      <xdr:row>19</xdr:row>
      <xdr:rowOff>88931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604837" y="2673381"/>
          <a:ext cx="4575175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4. PENGUKURAN CAPAIAN SKP</a:t>
          </a:r>
        </a:p>
      </xdr:txBody>
    </xdr:sp>
    <xdr:clientData/>
  </xdr:twoCellAnchor>
  <xdr:twoCellAnchor>
    <xdr:from>
      <xdr:col>0</xdr:col>
      <xdr:colOff>604836</xdr:colOff>
      <xdr:row>20</xdr:row>
      <xdr:rowOff>50831</xdr:rowOff>
    </xdr:from>
    <xdr:to>
      <xdr:col>8</xdr:col>
      <xdr:colOff>100011</xdr:colOff>
      <xdr:row>23</xdr:row>
      <xdr:rowOff>3206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604836" y="3225831"/>
          <a:ext cx="4575175" cy="428625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2">
                  <a:lumMod val="10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595312</xdr:colOff>
      <xdr:row>23</xdr:row>
      <xdr:rowOff>104806</xdr:rowOff>
    </xdr:from>
    <xdr:to>
      <xdr:col>8</xdr:col>
      <xdr:colOff>100012</xdr:colOff>
      <xdr:row>26</xdr:row>
      <xdr:rowOff>60356</xdr:rowOff>
    </xdr:to>
    <xdr:sp macro="" textlink="">
      <xdr:nvSpPr>
        <xdr:cNvPr id="8" name="Rectangle 7">
          <a:hlinkClick xmlns:r="http://schemas.openxmlformats.org/officeDocument/2006/relationships" r:id="rId5"/>
        </xdr:cNvPr>
        <xdr:cNvSpPr/>
      </xdr:nvSpPr>
      <xdr:spPr>
        <a:xfrm>
          <a:off x="595312" y="3756056"/>
          <a:ext cx="4584700" cy="431800"/>
        </a:xfrm>
        <a:prstGeom prst="rect">
          <a:avLst/>
        </a:prstGeom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603248</xdr:colOff>
      <xdr:row>10</xdr:row>
      <xdr:rowOff>55584</xdr:rowOff>
    </xdr:from>
    <xdr:to>
      <xdr:col>8</xdr:col>
      <xdr:colOff>98423</xdr:colOff>
      <xdr:row>13</xdr:row>
      <xdr:rowOff>7959</xdr:rowOff>
    </xdr:to>
    <xdr:sp macro="" textlink="">
      <xdr:nvSpPr>
        <xdr:cNvPr id="9" name="Rectangle 8">
          <a:hlinkClick xmlns:r="http://schemas.openxmlformats.org/officeDocument/2006/relationships" r:id="rId6"/>
        </xdr:cNvPr>
        <xdr:cNvSpPr/>
      </xdr:nvSpPr>
      <xdr:spPr>
        <a:xfrm>
          <a:off x="603248" y="1643084"/>
          <a:ext cx="4575175" cy="428625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2. COVER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19050</xdr:rowOff>
    </xdr:from>
    <xdr:to>
      <xdr:col>7</xdr:col>
      <xdr:colOff>419100</xdr:colOff>
      <xdr:row>11</xdr:row>
      <xdr:rowOff>257175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6591300" y="2190750"/>
          <a:ext cx="1009650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11</xdr:col>
      <xdr:colOff>400050</xdr:colOff>
      <xdr:row>8</xdr:row>
      <xdr:rowOff>104775</xdr:rowOff>
    </xdr:to>
    <xdr:sp macro="" textlink="">
      <xdr:nvSpPr>
        <xdr:cNvPr id="5" name="Left Arrow Callout 4">
          <a:hlinkClick xmlns:r="http://schemas.openxmlformats.org/officeDocument/2006/relationships" r:id="rId1"/>
        </xdr:cNvPr>
        <xdr:cNvSpPr/>
      </xdr:nvSpPr>
      <xdr:spPr>
        <a:xfrm>
          <a:off x="5991225" y="657225"/>
          <a:ext cx="1038225" cy="1095375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723900</xdr:rowOff>
    </xdr:to>
    <xdr:pic>
      <xdr:nvPicPr>
        <xdr:cNvPr id="335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809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12</xdr:col>
      <xdr:colOff>447675</xdr:colOff>
      <xdr:row>7</xdr:row>
      <xdr:rowOff>9525</xdr:rowOff>
    </xdr:to>
    <xdr:sp macro="" textlink="">
      <xdr:nvSpPr>
        <xdr:cNvPr id="4" name="Left Arrow Callout 3">
          <a:hlinkClick xmlns:r="http://schemas.openxmlformats.org/officeDocument/2006/relationships" r:id="rId1"/>
        </xdr:cNvPr>
        <xdr:cNvSpPr/>
      </xdr:nvSpPr>
      <xdr:spPr>
        <a:xfrm>
          <a:off x="8639175" y="219075"/>
          <a:ext cx="106680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150798</xdr:colOff>
      <xdr:row>6</xdr:row>
      <xdr:rowOff>230187</xdr:rowOff>
    </xdr:from>
    <xdr:to>
      <xdr:col>18</xdr:col>
      <xdr:colOff>928687</xdr:colOff>
      <xdr:row>21</xdr:row>
      <xdr:rowOff>0</xdr:rowOff>
    </xdr:to>
    <xdr:sp macro="" textlink="">
      <xdr:nvSpPr>
        <xdr:cNvPr id="3" name="Left Arrow Callout 2">
          <a:hlinkClick xmlns:r="http://schemas.openxmlformats.org/officeDocument/2006/relationships" r:id="rId1"/>
        </xdr:cNvPr>
        <xdr:cNvSpPr/>
      </xdr:nvSpPr>
      <xdr:spPr>
        <a:xfrm>
          <a:off x="9905986" y="1373187"/>
          <a:ext cx="777889" cy="896939"/>
        </a:xfrm>
        <a:prstGeom prst="leftArrowCallout">
          <a:avLst>
            <a:gd name="adj1" fmla="val 813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7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180975</xdr:rowOff>
    </xdr:from>
    <xdr:to>
      <xdr:col>12</xdr:col>
      <xdr:colOff>0</xdr:colOff>
      <xdr:row>6</xdr:row>
      <xdr:rowOff>114300</xdr:rowOff>
    </xdr:to>
    <xdr:sp macro="" textlink="">
      <xdr:nvSpPr>
        <xdr:cNvPr id="2" name="Left Arrow Callout 1">
          <a:hlinkClick xmlns:r="http://schemas.openxmlformats.org/officeDocument/2006/relationships" r:id="rId1"/>
        </xdr:cNvPr>
        <xdr:cNvSpPr/>
      </xdr:nvSpPr>
      <xdr:spPr>
        <a:xfrm>
          <a:off x="6858000" y="628650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104775</xdr:rowOff>
    </xdr:from>
    <xdr:to>
      <xdr:col>6</xdr:col>
      <xdr:colOff>1009650</xdr:colOff>
      <xdr:row>5</xdr:row>
      <xdr:rowOff>85725</xdr:rowOff>
    </xdr:to>
    <xdr:pic>
      <xdr:nvPicPr>
        <xdr:cNvPr id="7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04775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173182</xdr:rowOff>
    </xdr:from>
    <xdr:to>
      <xdr:col>12</xdr:col>
      <xdr:colOff>403514</xdr:colOff>
      <xdr:row>13</xdr:row>
      <xdr:rowOff>135082</xdr:rowOff>
    </xdr:to>
    <xdr:sp macro="" textlink="">
      <xdr:nvSpPr>
        <xdr:cNvPr id="3" name="Left Arrow Callout 2">
          <a:hlinkClick xmlns:r="http://schemas.openxmlformats.org/officeDocument/2006/relationships" r:id="rId2"/>
        </xdr:cNvPr>
        <xdr:cNvSpPr/>
      </xdr:nvSpPr>
      <xdr:spPr>
        <a:xfrm>
          <a:off x="6546273" y="1766455"/>
          <a:ext cx="1009650" cy="1104900"/>
        </a:xfrm>
        <a:prstGeom prst="leftArrowCallout">
          <a:avLst>
            <a:gd name="adj1" fmla="val 9906"/>
            <a:gd name="adj2" fmla="val 47641"/>
            <a:gd name="adj3" fmla="val 25000"/>
            <a:gd name="adj4" fmla="val 6497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id-ID" sz="1100" b="1"/>
            <a:t>BACK</a:t>
          </a:r>
          <a:r>
            <a:rPr lang="id-ID" sz="1100" b="1" baseline="0"/>
            <a:t> TO MENU UTAMA</a:t>
          </a:r>
          <a:endParaRPr lang="id-ID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"/>
  <sheetViews>
    <sheetView showGridLines="0" showRowColHeaders="0" showRuler="0" view="pageLayout" zoomScale="80" zoomScalePageLayoutView="80" workbookViewId="0"/>
  </sheetViews>
  <sheetFormatPr defaultRowHeight="12.75" x14ac:dyDescent="0.2"/>
  <sheetData/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</sheetPr>
  <dimension ref="A1:E20"/>
  <sheetViews>
    <sheetView tabSelected="1" showWhiteSpace="0" zoomScale="90" zoomScaleNormal="90" zoomScalePageLayoutView="87" workbookViewId="0">
      <selection activeCell="E4" sqref="E4"/>
    </sheetView>
  </sheetViews>
  <sheetFormatPr defaultRowHeight="18" x14ac:dyDescent="0.2"/>
  <cols>
    <col min="1" max="1" width="4.28515625" style="76" customWidth="1"/>
    <col min="2" max="2" width="3.7109375" style="75" customWidth="1"/>
    <col min="3" max="3" width="25.7109375" style="75" customWidth="1"/>
    <col min="4" max="4" width="1.5703125" style="75" bestFit="1" customWidth="1"/>
    <col min="5" max="5" width="55.7109375" style="75" customWidth="1"/>
    <col min="6" max="9" width="9.140625" style="75"/>
    <col min="10" max="10" width="18.85546875" style="75" bestFit="1" customWidth="1"/>
    <col min="11" max="16384" width="9.140625" style="75"/>
  </cols>
  <sheetData>
    <row r="1" spans="1:5" ht="24.75" customHeight="1" x14ac:dyDescent="0.2">
      <c r="A1" s="205" t="s">
        <v>103</v>
      </c>
      <c r="B1" s="205"/>
      <c r="C1" s="205"/>
      <c r="D1" s="205"/>
      <c r="E1" s="205"/>
    </row>
    <row r="2" spans="1:5" ht="12" customHeight="1" x14ac:dyDescent="0.2"/>
    <row r="3" spans="1:5" ht="22.5" customHeight="1" x14ac:dyDescent="0.2">
      <c r="A3" s="191">
        <v>1</v>
      </c>
      <c r="B3" s="206" t="s">
        <v>60</v>
      </c>
      <c r="C3" s="206"/>
      <c r="D3" s="206"/>
      <c r="E3" s="207"/>
    </row>
    <row r="4" spans="1:5" ht="22.5" customHeight="1" x14ac:dyDescent="0.2">
      <c r="A4" s="77"/>
      <c r="B4" s="186" t="s">
        <v>62</v>
      </c>
      <c r="C4" s="185" t="s">
        <v>4</v>
      </c>
      <c r="D4" s="183" t="s">
        <v>72</v>
      </c>
      <c r="E4" s="192" t="s">
        <v>111</v>
      </c>
    </row>
    <row r="5" spans="1:5" ht="22.5" customHeight="1" x14ac:dyDescent="0.2">
      <c r="A5" s="78"/>
      <c r="B5" s="186" t="s">
        <v>66</v>
      </c>
      <c r="C5" s="185" t="s">
        <v>5</v>
      </c>
      <c r="D5" s="183" t="s">
        <v>72</v>
      </c>
      <c r="E5" s="178" t="str">
        <f>VLOOKUP(E4,SOURCE!$A$2:$M$118,2,FALSE)</f>
        <v>196709261989022001</v>
      </c>
    </row>
    <row r="6" spans="1:5" ht="22.5" customHeight="1" x14ac:dyDescent="0.2">
      <c r="A6" s="78"/>
      <c r="B6" s="187" t="s">
        <v>67</v>
      </c>
      <c r="C6" s="185" t="s">
        <v>163</v>
      </c>
      <c r="D6" s="183" t="s">
        <v>72</v>
      </c>
      <c r="E6" s="178" t="str">
        <f>VLOOKUP(E4,SOURCE!$A$2:$M$118,3,FALSE)</f>
        <v>Penata Tingkat I / III/d</v>
      </c>
    </row>
    <row r="7" spans="1:5" ht="22.5" customHeight="1" x14ac:dyDescent="0.2">
      <c r="A7" s="78"/>
      <c r="B7" s="187" t="s">
        <v>68</v>
      </c>
      <c r="C7" s="185" t="s">
        <v>6</v>
      </c>
      <c r="D7" s="184" t="s">
        <v>72</v>
      </c>
      <c r="E7" s="178" t="str">
        <f>VLOOKUP(E4,SOURCE!$A$2:$M$118,5,FALSE)</f>
        <v>Kepala Bagian Akademik, Perencanaan dan Sistem Informasi</v>
      </c>
    </row>
    <row r="8" spans="1:5" ht="22.5" customHeight="1" x14ac:dyDescent="0.2">
      <c r="A8" s="79"/>
      <c r="B8" s="187" t="s">
        <v>69</v>
      </c>
      <c r="C8" s="185" t="s">
        <v>7</v>
      </c>
      <c r="D8" s="184" t="s">
        <v>72</v>
      </c>
      <c r="E8" s="179" t="s">
        <v>110</v>
      </c>
    </row>
    <row r="9" spans="1:5" ht="22.5" customHeight="1" x14ac:dyDescent="0.2">
      <c r="A9" s="191">
        <v>2</v>
      </c>
      <c r="B9" s="206" t="s">
        <v>70</v>
      </c>
      <c r="C9" s="206"/>
      <c r="D9" s="206"/>
      <c r="E9" s="207"/>
    </row>
    <row r="10" spans="1:5" ht="22.5" customHeight="1" x14ac:dyDescent="0.2">
      <c r="A10" s="77"/>
      <c r="B10" s="186" t="s">
        <v>62</v>
      </c>
      <c r="C10" s="185" t="s">
        <v>4</v>
      </c>
      <c r="D10" s="183" t="s">
        <v>72</v>
      </c>
      <c r="E10" s="180" t="str">
        <f>VLOOKUP(E4,SOURCE!$A$2:$M$118,6,FALSE)</f>
        <v>Dr. Eng. Muh. Anis Mustaghfirin, ST., MT.</v>
      </c>
    </row>
    <row r="11" spans="1:5" ht="22.5" customHeight="1" x14ac:dyDescent="0.2">
      <c r="A11" s="78"/>
      <c r="B11" s="186" t="s">
        <v>66</v>
      </c>
      <c r="C11" s="185" t="s">
        <v>5</v>
      </c>
      <c r="D11" s="183" t="s">
        <v>72</v>
      </c>
      <c r="E11" s="180" t="str">
        <f>VLOOKUP(E4,SOURCE!$A$2:$M$118,7,FALSE)</f>
        <v>197208051997021001</v>
      </c>
    </row>
    <row r="12" spans="1:5" ht="22.5" customHeight="1" x14ac:dyDescent="0.2">
      <c r="A12" s="78"/>
      <c r="B12" s="187" t="s">
        <v>67</v>
      </c>
      <c r="C12" s="185" t="s">
        <v>163</v>
      </c>
      <c r="D12" s="183" t="s">
        <v>72</v>
      </c>
      <c r="E12" s="181" t="str">
        <f>VLOOKUP(E4,SOURCE!$A$2:$M$118,8,FALSE)</f>
        <v>Penata Tingkat I / III/d</v>
      </c>
    </row>
    <row r="13" spans="1:5" ht="22.5" customHeight="1" x14ac:dyDescent="0.2">
      <c r="A13" s="78"/>
      <c r="B13" s="187" t="s">
        <v>68</v>
      </c>
      <c r="C13" s="185" t="s">
        <v>6</v>
      </c>
      <c r="D13" s="184" t="s">
        <v>72</v>
      </c>
      <c r="E13" s="181" t="str">
        <f>VLOOKUP(E4,SOURCE!$A$2:$M$118,9,FALSE)</f>
        <v>Wakil Direktur I</v>
      </c>
    </row>
    <row r="14" spans="1:5" ht="22.5" customHeight="1" x14ac:dyDescent="0.2">
      <c r="A14" s="79"/>
      <c r="B14" s="187" t="s">
        <v>69</v>
      </c>
      <c r="C14" s="185" t="s">
        <v>7</v>
      </c>
      <c r="D14" s="184" t="s">
        <v>72</v>
      </c>
      <c r="E14" s="179" t="s">
        <v>110</v>
      </c>
    </row>
    <row r="15" spans="1:5" ht="22.5" customHeight="1" x14ac:dyDescent="0.2">
      <c r="A15" s="191">
        <v>3</v>
      </c>
      <c r="B15" s="206" t="s">
        <v>71</v>
      </c>
      <c r="C15" s="206"/>
      <c r="D15" s="206"/>
      <c r="E15" s="207"/>
    </row>
    <row r="16" spans="1:5" ht="22.5" customHeight="1" x14ac:dyDescent="0.2">
      <c r="A16" s="77"/>
      <c r="B16" s="186" t="s">
        <v>62</v>
      </c>
      <c r="C16" s="185" t="s">
        <v>4</v>
      </c>
      <c r="D16" s="183" t="s">
        <v>72</v>
      </c>
      <c r="E16" s="182" t="str">
        <f>VLOOKUP(E4,SOURCE!$A$2:$M$118,10,FALSE)</f>
        <v>Ir. Eko Julianto, M.Sc., FRINA</v>
      </c>
    </row>
    <row r="17" spans="1:5" ht="22.5" customHeight="1" x14ac:dyDescent="0.2">
      <c r="A17" s="78"/>
      <c r="B17" s="186" t="s">
        <v>66</v>
      </c>
      <c r="C17" s="185" t="s">
        <v>5</v>
      </c>
      <c r="D17" s="183" t="s">
        <v>72</v>
      </c>
      <c r="E17" s="178" t="str">
        <f>VLOOKUP(E4,SOURCE!$A$2:$M$118,11,FALSE)</f>
        <v>196501231991031002</v>
      </c>
    </row>
    <row r="18" spans="1:5" ht="22.5" customHeight="1" x14ac:dyDescent="0.2">
      <c r="A18" s="78"/>
      <c r="B18" s="187" t="s">
        <v>67</v>
      </c>
      <c r="C18" s="185" t="s">
        <v>163</v>
      </c>
      <c r="D18" s="183" t="s">
        <v>72</v>
      </c>
      <c r="E18" s="182" t="str">
        <f>VLOOKUP(E4,SOURCE!$A$2:$M$118,12,FALSE)</f>
        <v>Pembina Tingkat I / IV/b</v>
      </c>
    </row>
    <row r="19" spans="1:5" ht="22.5" customHeight="1" x14ac:dyDescent="0.2">
      <c r="A19" s="78"/>
      <c r="B19" s="187" t="s">
        <v>68</v>
      </c>
      <c r="C19" s="185" t="s">
        <v>6</v>
      </c>
      <c r="D19" s="184" t="s">
        <v>72</v>
      </c>
      <c r="E19" s="182" t="str">
        <f>VLOOKUP(E4,SOURCE!$A$2:$M$118,13,FALSE)</f>
        <v>Direktur</v>
      </c>
    </row>
    <row r="20" spans="1:5" ht="22.5" customHeight="1" x14ac:dyDescent="0.2">
      <c r="A20" s="79"/>
      <c r="B20" s="187" t="s">
        <v>69</v>
      </c>
      <c r="C20" s="185" t="s">
        <v>7</v>
      </c>
      <c r="D20" s="184" t="s">
        <v>72</v>
      </c>
      <c r="E20" s="179" t="s">
        <v>110</v>
      </c>
    </row>
  </sheetData>
  <sheetProtection algorithmName="SHA-512" hashValue="LHB+J+R8jZI/HHvyXZyWVhyytvx+PdQpsyFV4B/eTT0Sq/y6xG0/JOtMexE6lJwUB6kfJRROw5uH5Mbcxtim3w==" saltValue="5xRiZABIk8apLvlcmKK/kg==" spinCount="100000" sheet="1" objects="1" scenarios="1"/>
  <protectedRanges>
    <protectedRange sqref="E4" name="Range1"/>
  </protectedRanges>
  <mergeCells count="4">
    <mergeCell ref="A1:E1"/>
    <mergeCell ref="B3:E3"/>
    <mergeCell ref="B9:E9"/>
    <mergeCell ref="B15:E15"/>
  </mergeCells>
  <pageMargins left="0.74803149606299213" right="0.43307086614173229" top="0.74803149606299213" bottom="0.74803149606299213" header="0.31496062992125984" footer="0.31496062992125984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SOURCE!$A$2:$A$7</xm:f>
          </x14:formula1>
          <xm:sqref>E4</xm:sqref>
        </x14:dataValidation>
        <x14:dataValidation type="list" allowBlank="1" showInputMessage="1" showErrorMessage="1">
          <x14:formula1>
            <xm:f>SOURCE!$A$2:$A$7</xm:f>
          </x14:formula1>
          <xm:sqref>E4</xm:sqref>
        </x14:dataValidation>
        <x14:dataValidation type="list" allowBlank="1" showInputMessage="1" showErrorMessage="1">
          <x14:formula1>
            <xm:f>SOURCE!$A$2:$A$7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-0.249977111117893"/>
  </sheetPr>
  <dimension ref="A1:J43"/>
  <sheetViews>
    <sheetView zoomScale="80" zoomScaleNormal="80" workbookViewId="0">
      <selection activeCell="O15" sqref="O15"/>
    </sheetView>
  </sheetViews>
  <sheetFormatPr defaultRowHeight="12.75" x14ac:dyDescent="0.2"/>
  <cols>
    <col min="1" max="1" width="15.42578125" style="80" customWidth="1"/>
    <col min="2" max="3" width="9.140625" style="80"/>
    <col min="4" max="4" width="4.5703125" style="80" customWidth="1"/>
    <col min="5" max="5" width="1.5703125" style="80" customWidth="1"/>
    <col min="6" max="16384" width="9.140625" style="80"/>
  </cols>
  <sheetData>
    <row r="1" spans="1:10" ht="13.5" thickTop="1" x14ac:dyDescent="0.2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x14ac:dyDescent="0.2">
      <c r="A2" s="86"/>
      <c r="B2" s="81"/>
      <c r="C2" s="81"/>
      <c r="D2" s="81"/>
      <c r="E2" s="81"/>
      <c r="F2" s="81"/>
      <c r="G2" s="81"/>
      <c r="H2" s="81"/>
      <c r="I2" s="81"/>
      <c r="J2" s="87"/>
    </row>
    <row r="3" spans="1:10" x14ac:dyDescent="0.2">
      <c r="A3" s="86"/>
      <c r="B3" s="81"/>
      <c r="C3" s="81"/>
      <c r="D3" s="81"/>
      <c r="E3" s="81"/>
      <c r="F3" s="81"/>
      <c r="G3" s="81"/>
      <c r="H3" s="81"/>
      <c r="I3" s="81"/>
      <c r="J3" s="87"/>
    </row>
    <row r="4" spans="1:10" x14ac:dyDescent="0.2">
      <c r="A4" s="86"/>
      <c r="B4" s="81"/>
      <c r="C4" s="81"/>
      <c r="D4" s="81"/>
      <c r="E4" s="81"/>
      <c r="F4" s="81"/>
      <c r="G4" s="81"/>
      <c r="H4" s="81"/>
      <c r="I4" s="81"/>
      <c r="J4" s="87"/>
    </row>
    <row r="5" spans="1:10" x14ac:dyDescent="0.2">
      <c r="A5" s="86"/>
      <c r="B5" s="81"/>
      <c r="C5" s="81"/>
      <c r="D5" s="81"/>
      <c r="E5" s="81"/>
      <c r="F5" s="81"/>
      <c r="G5" s="81"/>
      <c r="H5" s="81"/>
      <c r="I5" s="81"/>
      <c r="J5" s="87"/>
    </row>
    <row r="6" spans="1:10" x14ac:dyDescent="0.2">
      <c r="A6" s="86"/>
      <c r="B6" s="81"/>
      <c r="C6" s="81"/>
      <c r="D6" s="81"/>
      <c r="E6" s="81"/>
      <c r="F6" s="81"/>
      <c r="G6" s="81"/>
      <c r="H6" s="81"/>
      <c r="I6" s="81"/>
      <c r="J6" s="87"/>
    </row>
    <row r="7" spans="1:10" ht="60" customHeight="1" x14ac:dyDescent="0.2">
      <c r="A7" s="86"/>
      <c r="B7" s="81"/>
      <c r="C7" s="81"/>
      <c r="D7" s="81"/>
      <c r="E7" s="81"/>
      <c r="F7" s="81"/>
      <c r="G7" s="81"/>
      <c r="H7" s="81"/>
      <c r="I7" s="81"/>
      <c r="J7" s="87"/>
    </row>
    <row r="8" spans="1:10" ht="18" x14ac:dyDescent="0.2">
      <c r="A8" s="208" t="s">
        <v>57</v>
      </c>
      <c r="B8" s="209"/>
      <c r="C8" s="209"/>
      <c r="D8" s="209"/>
      <c r="E8" s="209"/>
      <c r="F8" s="209"/>
      <c r="G8" s="209"/>
      <c r="H8" s="209"/>
      <c r="I8" s="209"/>
      <c r="J8" s="210"/>
    </row>
    <row r="9" spans="1:10" ht="18" x14ac:dyDescent="0.2">
      <c r="A9" s="208" t="s">
        <v>58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0" x14ac:dyDescent="0.2">
      <c r="A10" s="86"/>
      <c r="B10" s="81"/>
      <c r="C10" s="81"/>
      <c r="D10" s="81"/>
      <c r="E10" s="81"/>
      <c r="F10" s="81"/>
      <c r="G10" s="81"/>
      <c r="H10" s="81"/>
      <c r="I10" s="81"/>
      <c r="J10" s="87"/>
    </row>
    <row r="11" spans="1:10" x14ac:dyDescent="0.2">
      <c r="A11" s="86"/>
      <c r="B11" s="81"/>
      <c r="C11" s="81"/>
      <c r="D11" s="81"/>
      <c r="E11" s="81"/>
      <c r="F11" s="81"/>
      <c r="G11" s="81"/>
      <c r="H11" s="81"/>
      <c r="I11" s="81"/>
      <c r="J11" s="87"/>
    </row>
    <row r="12" spans="1:10" x14ac:dyDescent="0.2">
      <c r="A12" s="86"/>
      <c r="B12" s="81"/>
      <c r="C12" s="81"/>
      <c r="D12" s="81"/>
      <c r="E12" s="81"/>
      <c r="F12" s="81"/>
      <c r="G12" s="81"/>
      <c r="H12" s="81"/>
      <c r="I12" s="81"/>
      <c r="J12" s="87"/>
    </row>
    <row r="13" spans="1:10" x14ac:dyDescent="0.2">
      <c r="A13" s="86"/>
      <c r="B13" s="81"/>
      <c r="C13" s="81"/>
      <c r="D13" s="81"/>
      <c r="E13" s="81"/>
      <c r="F13" s="81"/>
      <c r="G13" s="81"/>
      <c r="H13" s="81"/>
      <c r="I13" s="81"/>
      <c r="J13" s="87"/>
    </row>
    <row r="14" spans="1:10" x14ac:dyDescent="0.2">
      <c r="A14" s="86"/>
      <c r="B14" s="81"/>
      <c r="C14" s="81"/>
      <c r="D14" s="81"/>
      <c r="E14" s="81"/>
      <c r="F14" s="81"/>
      <c r="G14" s="81"/>
      <c r="H14" s="81"/>
      <c r="I14" s="81"/>
      <c r="J14" s="87"/>
    </row>
    <row r="15" spans="1:10" ht="15.75" x14ac:dyDescent="0.2">
      <c r="A15" s="211" t="s">
        <v>105</v>
      </c>
      <c r="B15" s="212"/>
      <c r="C15" s="212"/>
      <c r="D15" s="212"/>
      <c r="E15" s="212"/>
      <c r="F15" s="212"/>
      <c r="G15" s="212"/>
      <c r="H15" s="212"/>
      <c r="I15" s="212"/>
      <c r="J15" s="213"/>
    </row>
    <row r="16" spans="1:10" ht="15.75" x14ac:dyDescent="0.2">
      <c r="A16" s="211" t="s">
        <v>179</v>
      </c>
      <c r="B16" s="212"/>
      <c r="C16" s="212"/>
      <c r="D16" s="212"/>
      <c r="E16" s="212"/>
      <c r="F16" s="212"/>
      <c r="G16" s="212"/>
      <c r="H16" s="212"/>
      <c r="I16" s="212"/>
      <c r="J16" s="213"/>
    </row>
    <row r="17" spans="1:10" ht="88.5" customHeight="1" x14ac:dyDescent="0.2">
      <c r="A17" s="86"/>
      <c r="B17" s="81"/>
      <c r="C17" s="81"/>
      <c r="D17" s="81"/>
      <c r="E17" s="81"/>
      <c r="F17" s="81"/>
      <c r="G17" s="81"/>
      <c r="H17" s="81"/>
      <c r="I17" s="81"/>
      <c r="J17" s="87"/>
    </row>
    <row r="18" spans="1:10" ht="19.5" customHeight="1" x14ac:dyDescent="0.2">
      <c r="A18" s="176" t="s">
        <v>104</v>
      </c>
      <c r="C18" s="60"/>
      <c r="D18" s="60"/>
      <c r="E18" s="60" t="s">
        <v>72</v>
      </c>
      <c r="F18" s="214" t="str">
        <f>'DATA SKP'!E4</f>
        <v>Mursiatin, S.Sos.</v>
      </c>
      <c r="G18" s="214"/>
      <c r="H18" s="214"/>
      <c r="I18" s="214"/>
      <c r="J18" s="215"/>
    </row>
    <row r="19" spans="1:10" ht="19.5" customHeight="1" x14ac:dyDescent="0.2">
      <c r="A19" s="176" t="s">
        <v>5</v>
      </c>
      <c r="C19" s="60"/>
      <c r="D19" s="60"/>
      <c r="E19" s="60" t="s">
        <v>72</v>
      </c>
      <c r="F19" s="216" t="str">
        <f>'DATA SKP'!E5</f>
        <v>196709261989022001</v>
      </c>
      <c r="G19" s="216"/>
      <c r="H19" s="216"/>
      <c r="I19" s="216"/>
      <c r="J19" s="217"/>
    </row>
    <row r="20" spans="1:10" ht="19.5" customHeight="1" x14ac:dyDescent="0.2">
      <c r="A20" s="176" t="s">
        <v>162</v>
      </c>
      <c r="C20" s="60"/>
      <c r="D20" s="60"/>
      <c r="E20" s="60" t="s">
        <v>72</v>
      </c>
      <c r="F20" s="216" t="str">
        <f>'DATA SKP'!E6</f>
        <v>Penata Tingkat I / III/d</v>
      </c>
      <c r="G20" s="216"/>
      <c r="H20" s="216"/>
      <c r="I20" s="216"/>
      <c r="J20" s="217"/>
    </row>
    <row r="21" spans="1:10" ht="30" customHeight="1" x14ac:dyDescent="0.2">
      <c r="A21" s="176" t="s">
        <v>6</v>
      </c>
      <c r="C21" s="60"/>
      <c r="D21" s="60"/>
      <c r="E21" s="60" t="s">
        <v>72</v>
      </c>
      <c r="F21" s="218" t="str">
        <f>'DATA SKP'!E7</f>
        <v>Kepala Bagian Akademik, Perencanaan dan Sistem Informasi</v>
      </c>
      <c r="G21" s="218"/>
      <c r="H21" s="218"/>
      <c r="I21" s="218"/>
      <c r="J21" s="219"/>
    </row>
    <row r="22" spans="1:10" ht="18.75" customHeight="1" x14ac:dyDescent="0.2">
      <c r="A22" s="176" t="s">
        <v>7</v>
      </c>
      <c r="C22" s="60"/>
      <c r="D22" s="60"/>
      <c r="E22" s="60" t="s">
        <v>72</v>
      </c>
      <c r="F22" s="216" t="str">
        <f>'DATA SKP'!E8</f>
        <v>Politeknik Perkapalan Negeri Surabaya</v>
      </c>
      <c r="G22" s="216"/>
      <c r="H22" s="216"/>
      <c r="I22" s="216"/>
      <c r="J22" s="217"/>
    </row>
    <row r="23" spans="1:10" ht="15" x14ac:dyDescent="0.2">
      <c r="A23" s="86"/>
      <c r="B23" s="82"/>
      <c r="C23" s="82"/>
      <c r="D23" s="82"/>
      <c r="E23" s="82"/>
      <c r="F23" s="82"/>
      <c r="G23" s="82"/>
      <c r="H23" s="82"/>
      <c r="I23" s="81"/>
      <c r="J23" s="87"/>
    </row>
    <row r="24" spans="1:10" x14ac:dyDescent="0.2">
      <c r="A24" s="86"/>
      <c r="B24" s="81"/>
      <c r="C24" s="81"/>
      <c r="D24" s="81"/>
      <c r="E24" s="81"/>
      <c r="F24" s="81"/>
      <c r="G24" s="81"/>
      <c r="H24" s="81"/>
      <c r="I24" s="81"/>
      <c r="J24" s="87"/>
    </row>
    <row r="25" spans="1:10" x14ac:dyDescent="0.2">
      <c r="A25" s="86"/>
      <c r="B25" s="81"/>
      <c r="C25" s="81"/>
      <c r="D25" s="81"/>
      <c r="E25" s="81"/>
      <c r="F25" s="81"/>
      <c r="G25" s="81"/>
      <c r="H25" s="81"/>
      <c r="I25" s="81"/>
      <c r="J25" s="87"/>
    </row>
    <row r="26" spans="1:10" x14ac:dyDescent="0.2">
      <c r="A26" s="86"/>
      <c r="B26" s="81"/>
      <c r="C26" s="81"/>
      <c r="D26" s="81"/>
      <c r="E26" s="81"/>
      <c r="F26" s="81"/>
      <c r="G26" s="81"/>
      <c r="H26" s="81"/>
      <c r="I26" s="81"/>
      <c r="J26" s="87"/>
    </row>
    <row r="27" spans="1:10" x14ac:dyDescent="0.2">
      <c r="A27" s="86"/>
      <c r="B27" s="81"/>
      <c r="C27" s="81"/>
      <c r="D27" s="81"/>
      <c r="E27" s="81"/>
      <c r="F27" s="81"/>
      <c r="G27" s="81"/>
      <c r="H27" s="81"/>
      <c r="I27" s="81"/>
      <c r="J27" s="87"/>
    </row>
    <row r="28" spans="1:10" x14ac:dyDescent="0.2">
      <c r="A28" s="86"/>
      <c r="B28" s="81"/>
      <c r="C28" s="81"/>
      <c r="D28" s="81"/>
      <c r="E28" s="81"/>
      <c r="F28" s="81"/>
      <c r="G28" s="81"/>
      <c r="H28" s="81"/>
      <c r="I28" s="81"/>
      <c r="J28" s="87"/>
    </row>
    <row r="29" spans="1:10" x14ac:dyDescent="0.2">
      <c r="A29" s="86"/>
      <c r="B29" s="81"/>
      <c r="C29" s="81"/>
      <c r="D29" s="81"/>
      <c r="E29" s="81"/>
      <c r="F29" s="81"/>
      <c r="G29" s="81"/>
      <c r="H29" s="81"/>
      <c r="I29" s="81"/>
      <c r="J29" s="87"/>
    </row>
    <row r="30" spans="1:10" x14ac:dyDescent="0.2">
      <c r="A30" s="86"/>
      <c r="B30" s="81"/>
      <c r="C30" s="81"/>
      <c r="D30" s="81"/>
      <c r="E30" s="81"/>
      <c r="F30" s="81"/>
      <c r="G30" s="81"/>
      <c r="H30" s="81"/>
      <c r="I30" s="81"/>
      <c r="J30" s="87"/>
    </row>
    <row r="31" spans="1:10" x14ac:dyDescent="0.2">
      <c r="A31" s="86"/>
      <c r="B31" s="81"/>
      <c r="C31" s="81"/>
      <c r="D31" s="81"/>
      <c r="E31" s="81"/>
      <c r="F31" s="81"/>
      <c r="G31" s="81"/>
      <c r="H31" s="81"/>
      <c r="I31" s="81"/>
      <c r="J31" s="87"/>
    </row>
    <row r="32" spans="1:10" x14ac:dyDescent="0.2">
      <c r="A32" s="86"/>
      <c r="B32" s="81"/>
      <c r="C32" s="81"/>
      <c r="D32" s="81"/>
      <c r="E32" s="81"/>
      <c r="F32" s="81"/>
      <c r="G32" s="81"/>
      <c r="H32" s="81"/>
      <c r="I32" s="81"/>
      <c r="J32" s="87"/>
    </row>
    <row r="33" spans="1:10" x14ac:dyDescent="0.2">
      <c r="A33" s="86"/>
      <c r="B33" s="81"/>
      <c r="C33" s="81"/>
      <c r="D33" s="81"/>
      <c r="E33" s="81"/>
      <c r="F33" s="81"/>
      <c r="G33" s="81"/>
      <c r="H33" s="81"/>
      <c r="I33" s="81"/>
      <c r="J33" s="87"/>
    </row>
    <row r="34" spans="1:10" x14ac:dyDescent="0.2">
      <c r="A34" s="86"/>
      <c r="B34" s="81"/>
      <c r="C34" s="81"/>
      <c r="D34" s="81"/>
      <c r="E34" s="81"/>
      <c r="F34" s="81"/>
      <c r="G34" s="81"/>
      <c r="H34" s="81"/>
      <c r="I34" s="81"/>
      <c r="J34" s="87"/>
    </row>
    <row r="35" spans="1:10" x14ac:dyDescent="0.2">
      <c r="A35" s="86"/>
      <c r="B35" s="81"/>
      <c r="C35" s="81"/>
      <c r="D35" s="81"/>
      <c r="E35" s="81"/>
      <c r="F35" s="81"/>
      <c r="G35" s="81"/>
      <c r="H35" s="81"/>
      <c r="I35" s="81"/>
      <c r="J35" s="87"/>
    </row>
    <row r="36" spans="1:10" x14ac:dyDescent="0.2">
      <c r="A36" s="86"/>
      <c r="B36" s="81"/>
      <c r="C36" s="81"/>
      <c r="D36" s="81"/>
      <c r="E36" s="81"/>
      <c r="F36" s="81"/>
      <c r="G36" s="81"/>
      <c r="H36" s="81"/>
      <c r="I36" s="81"/>
      <c r="J36" s="87"/>
    </row>
    <row r="37" spans="1:10" x14ac:dyDescent="0.2">
      <c r="A37" s="86"/>
      <c r="B37" s="81"/>
      <c r="C37" s="81"/>
      <c r="D37" s="81"/>
      <c r="E37" s="81"/>
      <c r="F37" s="81"/>
      <c r="G37" s="81"/>
      <c r="H37" s="81"/>
      <c r="I37" s="81"/>
      <c r="J37" s="87"/>
    </row>
    <row r="38" spans="1:10" ht="18" x14ac:dyDescent="0.2">
      <c r="A38" s="208" t="s">
        <v>173</v>
      </c>
      <c r="B38" s="209"/>
      <c r="C38" s="209"/>
      <c r="D38" s="209"/>
      <c r="E38" s="209"/>
      <c r="F38" s="209"/>
      <c r="G38" s="209"/>
      <c r="H38" s="209"/>
      <c r="I38" s="209"/>
      <c r="J38" s="210"/>
    </row>
    <row r="39" spans="1:10" ht="18" x14ac:dyDescent="0.2">
      <c r="A39" s="208" t="s">
        <v>180</v>
      </c>
      <c r="B39" s="209"/>
      <c r="C39" s="209"/>
      <c r="D39" s="209"/>
      <c r="E39" s="209"/>
      <c r="F39" s="209"/>
      <c r="G39" s="209"/>
      <c r="H39" s="209"/>
      <c r="I39" s="209"/>
      <c r="J39" s="210"/>
    </row>
    <row r="40" spans="1:10" ht="18" x14ac:dyDescent="0.2">
      <c r="A40" s="97"/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23.25" customHeight="1" x14ac:dyDescent="0.2">
      <c r="A41" s="86"/>
      <c r="B41" s="81"/>
      <c r="C41" s="81"/>
      <c r="D41" s="81"/>
      <c r="E41" s="81"/>
      <c r="F41" s="81"/>
      <c r="G41" s="81"/>
      <c r="H41" s="81"/>
      <c r="I41" s="81"/>
      <c r="J41" s="87"/>
    </row>
    <row r="42" spans="1:10" ht="13.5" thickBo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3.5" thickTop="1" x14ac:dyDescent="0.2"/>
  </sheetData>
  <sheetProtection algorithmName="SHA-512" hashValue="LibvzvulS8mONTAFnaxKUn52Afd+HO+QyubOK0DAyoU+DZAQL2VGalhLI9TZiyPd6NmbakPb/7P5ADCak9Kzqw==" saltValue="zkEYDQDbiWOC0QZ2P25v0w==" spinCount="100000" sheet="1" objects="1" scenarios="1"/>
  <mergeCells count="11">
    <mergeCell ref="A39:J39"/>
    <mergeCell ref="F18:J18"/>
    <mergeCell ref="F19:J19"/>
    <mergeCell ref="F20:J20"/>
    <mergeCell ref="F21:J21"/>
    <mergeCell ref="F22:J22"/>
    <mergeCell ref="A8:J8"/>
    <mergeCell ref="A9:J9"/>
    <mergeCell ref="A15:J15"/>
    <mergeCell ref="A16:J16"/>
    <mergeCell ref="A38:J38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-0.249977111117893"/>
  </sheetPr>
  <dimension ref="A1:K33"/>
  <sheetViews>
    <sheetView showWhiteSpace="0" zoomScale="90" zoomScaleNormal="90" workbookViewId="0">
      <selection sqref="A1:K1"/>
    </sheetView>
  </sheetViews>
  <sheetFormatPr defaultRowHeight="12.75" x14ac:dyDescent="0.2"/>
  <cols>
    <col min="1" max="1" width="4.7109375" style="21" customWidth="1"/>
    <col min="2" max="2" width="18.5703125" style="21" customWidth="1"/>
    <col min="3" max="3" width="29.7109375" style="21" customWidth="1"/>
    <col min="4" max="4" width="7" style="21" customWidth="1"/>
    <col min="5" max="5" width="7.7109375" style="21" customWidth="1"/>
    <col min="6" max="6" width="9.5703125" style="21" customWidth="1"/>
    <col min="7" max="7" width="9.7109375" style="21" customWidth="1"/>
    <col min="8" max="8" width="10.140625" style="21" customWidth="1"/>
    <col min="9" max="10" width="6.42578125" style="21" customWidth="1"/>
    <col min="11" max="11" width="13.140625" style="21" customWidth="1"/>
    <col min="12" max="16384" width="9.140625" style="21"/>
  </cols>
  <sheetData>
    <row r="1" spans="1:11" ht="15.75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5.75" x14ac:dyDescent="0.25">
      <c r="A2" s="244" t="s">
        <v>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1" customFormat="1" ht="18" customHeight="1" x14ac:dyDescent="0.2">
      <c r="A4" s="27" t="s">
        <v>1</v>
      </c>
      <c r="B4" s="246" t="s">
        <v>2</v>
      </c>
      <c r="C4" s="247"/>
      <c r="D4" s="109"/>
      <c r="E4" s="27" t="s">
        <v>1</v>
      </c>
      <c r="F4" s="248" t="s">
        <v>3</v>
      </c>
      <c r="G4" s="249"/>
      <c r="H4" s="249"/>
      <c r="I4" s="249"/>
      <c r="J4" s="249"/>
      <c r="K4" s="250"/>
    </row>
    <row r="5" spans="1:11" s="1" customFormat="1" ht="18" customHeight="1" x14ac:dyDescent="0.2">
      <c r="A5" s="114">
        <v>1</v>
      </c>
      <c r="B5" s="121" t="s">
        <v>4</v>
      </c>
      <c r="C5" s="242" t="str">
        <f>'DATA SKP'!E10</f>
        <v>Dr. Eng. Muh. Anis Mustaghfirin, ST., MT.</v>
      </c>
      <c r="D5" s="243"/>
      <c r="E5" s="65">
        <v>1</v>
      </c>
      <c r="F5" s="240" t="s">
        <v>4</v>
      </c>
      <c r="G5" s="241"/>
      <c r="H5" s="245" t="str">
        <f>'DATA SKP'!E4</f>
        <v>Mursiatin, S.Sos.</v>
      </c>
      <c r="I5" s="240"/>
      <c r="J5" s="240"/>
      <c r="K5" s="241"/>
    </row>
    <row r="6" spans="1:11" s="1" customFormat="1" ht="18" customHeight="1" x14ac:dyDescent="0.2">
      <c r="A6" s="115">
        <v>2</v>
      </c>
      <c r="B6" s="122" t="s">
        <v>5</v>
      </c>
      <c r="C6" s="228" t="str">
        <f>'DATA SKP'!E11</f>
        <v>197208051997021001</v>
      </c>
      <c r="D6" s="230"/>
      <c r="E6" s="66">
        <v>2</v>
      </c>
      <c r="F6" s="221" t="s">
        <v>5</v>
      </c>
      <c r="G6" s="222"/>
      <c r="H6" s="220" t="str">
        <f>'DATA SKP'!E5</f>
        <v>196709261989022001</v>
      </c>
      <c r="I6" s="221"/>
      <c r="J6" s="221"/>
      <c r="K6" s="222"/>
    </row>
    <row r="7" spans="1:11" s="1" customFormat="1" ht="18" customHeight="1" x14ac:dyDescent="0.2">
      <c r="A7" s="115">
        <v>3</v>
      </c>
      <c r="B7" s="122" t="s">
        <v>8</v>
      </c>
      <c r="C7" s="228" t="str">
        <f>'DATA SKP'!E12</f>
        <v>Penata Tingkat I / III/d</v>
      </c>
      <c r="D7" s="230"/>
      <c r="E7" s="66">
        <v>3</v>
      </c>
      <c r="F7" s="221" t="s">
        <v>8</v>
      </c>
      <c r="G7" s="222"/>
      <c r="H7" s="220" t="str">
        <f>'DATA SKP'!E6</f>
        <v>Penata Tingkat I / III/d</v>
      </c>
      <c r="I7" s="221"/>
      <c r="J7" s="221"/>
      <c r="K7" s="222"/>
    </row>
    <row r="8" spans="1:11" s="1" customFormat="1" ht="27.75" customHeight="1" x14ac:dyDescent="0.2">
      <c r="A8" s="115">
        <v>4</v>
      </c>
      <c r="B8" s="122" t="s">
        <v>6</v>
      </c>
      <c r="C8" s="228" t="str">
        <f>'DATA SKP'!E13</f>
        <v>Wakil Direktur I</v>
      </c>
      <c r="D8" s="230"/>
      <c r="E8" s="66">
        <v>4</v>
      </c>
      <c r="F8" s="221" t="s">
        <v>6</v>
      </c>
      <c r="G8" s="222"/>
      <c r="H8" s="228" t="str">
        <f>'DATA SKP'!E7</f>
        <v>Kepala Bagian Akademik, Perencanaan dan Sistem Informasi</v>
      </c>
      <c r="I8" s="229"/>
      <c r="J8" s="229"/>
      <c r="K8" s="230"/>
    </row>
    <row r="9" spans="1:11" s="1" customFormat="1" ht="18" customHeight="1" x14ac:dyDescent="0.2">
      <c r="A9" s="116">
        <v>5</v>
      </c>
      <c r="B9" s="123" t="s">
        <v>7</v>
      </c>
      <c r="C9" s="231" t="str">
        <f>'DATA SKP'!E14</f>
        <v>Politeknik Perkapalan Negeri Surabaya</v>
      </c>
      <c r="D9" s="232"/>
      <c r="E9" s="92">
        <v>5</v>
      </c>
      <c r="F9" s="225" t="s">
        <v>7</v>
      </c>
      <c r="G9" s="226"/>
      <c r="H9" s="227" t="str">
        <f>'DATA SKP'!E8</f>
        <v>Politeknik Perkapalan Negeri Surabaya</v>
      </c>
      <c r="I9" s="225"/>
      <c r="J9" s="225"/>
      <c r="K9" s="226"/>
    </row>
    <row r="10" spans="1:11" ht="18.75" customHeight="1" x14ac:dyDescent="0.2">
      <c r="A10" s="234" t="s">
        <v>1</v>
      </c>
      <c r="B10" s="234" t="s">
        <v>27</v>
      </c>
      <c r="C10" s="234"/>
      <c r="D10" s="110"/>
      <c r="E10" s="234" t="s">
        <v>21</v>
      </c>
      <c r="F10" s="234" t="s">
        <v>9</v>
      </c>
      <c r="G10" s="234"/>
      <c r="H10" s="234"/>
      <c r="I10" s="234"/>
      <c r="J10" s="234"/>
      <c r="K10" s="234"/>
    </row>
    <row r="11" spans="1:11" ht="18.75" customHeight="1" x14ac:dyDescent="0.2">
      <c r="A11" s="234"/>
      <c r="B11" s="234"/>
      <c r="C11" s="234"/>
      <c r="D11" s="110"/>
      <c r="E11" s="234"/>
      <c r="F11" s="239" t="s">
        <v>24</v>
      </c>
      <c r="G11" s="239"/>
      <c r="H11" s="111" t="s">
        <v>10</v>
      </c>
      <c r="I11" s="239" t="s">
        <v>11</v>
      </c>
      <c r="J11" s="239"/>
      <c r="K11" s="111" t="s">
        <v>12</v>
      </c>
    </row>
    <row r="12" spans="1:11" ht="27" customHeight="1" x14ac:dyDescent="0.2">
      <c r="A12" s="120">
        <v>1</v>
      </c>
      <c r="B12" s="223"/>
      <c r="C12" s="224"/>
      <c r="D12" s="2"/>
      <c r="E12" s="117">
        <f>D12*F12</f>
        <v>0</v>
      </c>
      <c r="F12" s="134"/>
      <c r="G12" s="135"/>
      <c r="H12" s="172"/>
      <c r="I12" s="134"/>
      <c r="J12" s="117"/>
      <c r="K12" s="101"/>
    </row>
    <row r="13" spans="1:11" ht="27" customHeight="1" x14ac:dyDescent="0.2">
      <c r="A13" s="120">
        <v>2</v>
      </c>
      <c r="B13" s="223"/>
      <c r="C13" s="224"/>
      <c r="D13" s="2"/>
      <c r="E13" s="117">
        <f>D13*F13</f>
        <v>0</v>
      </c>
      <c r="F13" s="134"/>
      <c r="G13" s="135"/>
      <c r="H13" s="172"/>
      <c r="I13" s="134"/>
      <c r="J13" s="117"/>
      <c r="K13" s="101"/>
    </row>
    <row r="14" spans="1:11" ht="27" customHeight="1" x14ac:dyDescent="0.2">
      <c r="A14" s="120">
        <v>3</v>
      </c>
      <c r="B14" s="223"/>
      <c r="C14" s="224"/>
      <c r="D14" s="2"/>
      <c r="E14" s="117">
        <v>0</v>
      </c>
      <c r="F14" s="134"/>
      <c r="G14" s="135"/>
      <c r="H14" s="172"/>
      <c r="I14" s="134"/>
      <c r="J14" s="117"/>
      <c r="K14" s="101"/>
    </row>
    <row r="15" spans="1:11" ht="27" customHeight="1" x14ac:dyDescent="0.2">
      <c r="A15" s="120">
        <v>4</v>
      </c>
      <c r="B15" s="223"/>
      <c r="C15" s="224"/>
      <c r="D15" s="2"/>
      <c r="E15" s="117">
        <f>D15*F15</f>
        <v>0</v>
      </c>
      <c r="F15" s="134"/>
      <c r="G15" s="135"/>
      <c r="H15" s="172"/>
      <c r="I15" s="134"/>
      <c r="J15" s="117"/>
      <c r="K15" s="101"/>
    </row>
    <row r="16" spans="1:11" ht="27" customHeight="1" x14ac:dyDescent="0.2">
      <c r="A16" s="120">
        <v>5</v>
      </c>
      <c r="B16" s="223"/>
      <c r="C16" s="224"/>
      <c r="D16" s="2"/>
      <c r="E16" s="117">
        <f>D16*F16</f>
        <v>0</v>
      </c>
      <c r="F16" s="134"/>
      <c r="G16" s="135"/>
      <c r="H16" s="172"/>
      <c r="I16" s="134"/>
      <c r="J16" s="117"/>
      <c r="K16" s="101"/>
    </row>
    <row r="17" spans="1:11" ht="27" customHeight="1" x14ac:dyDescent="0.2">
      <c r="A17" s="120">
        <v>6</v>
      </c>
      <c r="B17" s="223"/>
      <c r="C17" s="224"/>
      <c r="D17" s="2"/>
      <c r="E17" s="117">
        <v>0</v>
      </c>
      <c r="F17" s="134"/>
      <c r="G17" s="135"/>
      <c r="H17" s="172"/>
      <c r="I17" s="134"/>
      <c r="J17" s="117"/>
      <c r="K17" s="101"/>
    </row>
    <row r="18" spans="1:11" ht="27" customHeight="1" x14ac:dyDescent="0.2">
      <c r="A18" s="120">
        <v>7</v>
      </c>
      <c r="B18" s="223"/>
      <c r="C18" s="224"/>
      <c r="D18" s="2"/>
      <c r="E18" s="117">
        <f t="shared" ref="E18:E23" si="0">D18*F18</f>
        <v>0</v>
      </c>
      <c r="F18" s="134"/>
      <c r="G18" s="135"/>
      <c r="H18" s="172"/>
      <c r="I18" s="134"/>
      <c r="J18" s="117"/>
      <c r="K18" s="101"/>
    </row>
    <row r="19" spans="1:11" ht="27" customHeight="1" x14ac:dyDescent="0.2">
      <c r="A19" s="120">
        <v>8</v>
      </c>
      <c r="B19" s="223"/>
      <c r="C19" s="224"/>
      <c r="D19" s="2"/>
      <c r="E19" s="117">
        <f t="shared" si="0"/>
        <v>0</v>
      </c>
      <c r="F19" s="134"/>
      <c r="G19" s="135"/>
      <c r="H19" s="172"/>
      <c r="I19" s="134"/>
      <c r="J19" s="117"/>
      <c r="K19" s="101"/>
    </row>
    <row r="20" spans="1:11" ht="27" customHeight="1" x14ac:dyDescent="0.2">
      <c r="A20" s="120">
        <v>9</v>
      </c>
      <c r="B20" s="223"/>
      <c r="C20" s="224"/>
      <c r="D20" s="2"/>
      <c r="E20" s="117">
        <f t="shared" si="0"/>
        <v>0</v>
      </c>
      <c r="F20" s="134"/>
      <c r="G20" s="135"/>
      <c r="H20" s="172"/>
      <c r="I20" s="134"/>
      <c r="J20" s="117"/>
      <c r="K20" s="101"/>
    </row>
    <row r="21" spans="1:11" ht="27" customHeight="1" x14ac:dyDescent="0.2">
      <c r="A21" s="120">
        <v>10</v>
      </c>
      <c r="B21" s="237"/>
      <c r="C21" s="238"/>
      <c r="D21" s="2"/>
      <c r="E21" s="117">
        <f t="shared" si="0"/>
        <v>0</v>
      </c>
      <c r="F21" s="134"/>
      <c r="G21" s="135"/>
      <c r="H21" s="172"/>
      <c r="I21" s="134"/>
      <c r="J21" s="117"/>
      <c r="K21" s="101"/>
    </row>
    <row r="22" spans="1:11" ht="27" customHeight="1" x14ac:dyDescent="0.2">
      <c r="A22" s="120">
        <v>11</v>
      </c>
      <c r="B22" s="237"/>
      <c r="C22" s="238"/>
      <c r="D22" s="2"/>
      <c r="E22" s="117">
        <f t="shared" si="0"/>
        <v>0</v>
      </c>
      <c r="F22" s="134"/>
      <c r="G22" s="135"/>
      <c r="H22" s="172"/>
      <c r="I22" s="134"/>
      <c r="J22" s="117"/>
      <c r="K22" s="101"/>
    </row>
    <row r="23" spans="1:11" ht="27" customHeight="1" x14ac:dyDescent="0.2">
      <c r="A23" s="120">
        <v>12</v>
      </c>
      <c r="B23" s="237"/>
      <c r="C23" s="238"/>
      <c r="D23" s="2"/>
      <c r="E23" s="117">
        <f t="shared" si="0"/>
        <v>0</v>
      </c>
      <c r="F23" s="134"/>
      <c r="G23" s="135"/>
      <c r="H23" s="172"/>
      <c r="I23" s="134"/>
      <c r="J23" s="117"/>
      <c r="K23" s="101"/>
    </row>
    <row r="24" spans="1:11" ht="27" customHeight="1" x14ac:dyDescent="0.2">
      <c r="A24" s="120">
        <v>13</v>
      </c>
      <c r="B24" s="237"/>
      <c r="C24" s="238"/>
      <c r="D24" s="2"/>
      <c r="E24" s="117">
        <v>0</v>
      </c>
      <c r="F24" s="134"/>
      <c r="G24" s="135"/>
      <c r="H24" s="172"/>
      <c r="I24" s="134"/>
      <c r="J24" s="117"/>
      <c r="K24" s="101"/>
    </row>
    <row r="25" spans="1:11" ht="18" customHeight="1" x14ac:dyDescent="0.2">
      <c r="A25" s="104"/>
      <c r="B25" s="105"/>
      <c r="C25" s="105"/>
      <c r="D25" s="15"/>
      <c r="E25" s="104"/>
      <c r="F25" s="104"/>
      <c r="G25" s="105"/>
      <c r="H25" s="106"/>
      <c r="I25" s="104"/>
      <c r="J25" s="104"/>
      <c r="K25" s="107"/>
    </row>
    <row r="26" spans="1:11" ht="12" customHeight="1" x14ac:dyDescent="0.2">
      <c r="G26" s="235" t="s">
        <v>174</v>
      </c>
      <c r="H26" s="235"/>
      <c r="I26" s="235"/>
      <c r="J26" s="235"/>
      <c r="K26" s="235"/>
    </row>
    <row r="27" spans="1:11" ht="12" customHeight="1" x14ac:dyDescent="0.2">
      <c r="A27" s="235" t="s">
        <v>26</v>
      </c>
      <c r="B27" s="235"/>
      <c r="C27" s="235"/>
      <c r="D27" s="113"/>
      <c r="E27" s="64"/>
      <c r="F27" s="112"/>
      <c r="G27" s="235" t="s">
        <v>13</v>
      </c>
      <c r="H27" s="235"/>
      <c r="I27" s="235"/>
      <c r="J27" s="235"/>
      <c r="K27" s="235"/>
    </row>
    <row r="28" spans="1:11" ht="42" customHeight="1" x14ac:dyDescent="0.2"/>
    <row r="29" spans="1:11" s="96" customFormat="1" ht="12" customHeight="1" x14ac:dyDescent="0.2">
      <c r="A29" s="236" t="str">
        <f>C5</f>
        <v>Dr. Eng. Muh. Anis Mustaghfirin, ST., MT.</v>
      </c>
      <c r="B29" s="236"/>
      <c r="C29" s="236"/>
      <c r="D29" s="94"/>
      <c r="E29" s="94"/>
      <c r="F29" s="95"/>
      <c r="G29" s="236" t="str">
        <f>H5</f>
        <v>Mursiatin, S.Sos.</v>
      </c>
      <c r="H29" s="236"/>
      <c r="I29" s="236"/>
      <c r="J29" s="236"/>
      <c r="K29" s="236"/>
    </row>
    <row r="30" spans="1:11" ht="12" customHeight="1" x14ac:dyDescent="0.2">
      <c r="A30" s="235" t="str">
        <f>C6</f>
        <v>197208051997021001</v>
      </c>
      <c r="B30" s="235"/>
      <c r="C30" s="235"/>
      <c r="D30" s="64"/>
      <c r="E30" s="64"/>
      <c r="G30" s="235" t="str">
        <f>H6</f>
        <v>196709261989022001</v>
      </c>
      <c r="H30" s="235"/>
      <c r="I30" s="235"/>
      <c r="J30" s="235"/>
      <c r="K30" s="235"/>
    </row>
    <row r="31" spans="1:11" ht="18" customHeight="1" x14ac:dyDescent="0.2"/>
    <row r="32" spans="1:11" x14ac:dyDescent="0.2">
      <c r="A32" s="233" t="s">
        <v>22</v>
      </c>
      <c r="B32" s="233"/>
      <c r="C32" s="233"/>
      <c r="D32" s="233"/>
      <c r="E32" s="233"/>
      <c r="F32" s="113"/>
    </row>
    <row r="33" spans="1:6" x14ac:dyDescent="0.2">
      <c r="A33" s="233" t="s">
        <v>23</v>
      </c>
      <c r="B33" s="233"/>
      <c r="C33" s="233"/>
      <c r="D33" s="233"/>
      <c r="E33" s="233"/>
      <c r="F33" s="113"/>
    </row>
  </sheetData>
  <sheetProtection algorithmName="SHA-512" hashValue="z+Wyya0uV4AjmVFIVwp2i329XwZeN5zy0tzm0mwkH/1BTV7+w6+JKVKIPKL+L2jWTqoxPfxSyami0R1zwoghyw==" saltValue="tXlNuKC2/nIq+/q8rv54dw==" spinCount="100000" sheet="1" objects="1" scenarios="1"/>
  <protectedRanges>
    <protectedRange sqref="A12:K24" name="Range1"/>
  </protectedRanges>
  <mergeCells count="47">
    <mergeCell ref="A1:K1"/>
    <mergeCell ref="A2:K2"/>
    <mergeCell ref="H5:K5"/>
    <mergeCell ref="B4:C4"/>
    <mergeCell ref="F4:K4"/>
    <mergeCell ref="H6:K6"/>
    <mergeCell ref="F6:G6"/>
    <mergeCell ref="C6:D6"/>
    <mergeCell ref="F5:G5"/>
    <mergeCell ref="C5:D5"/>
    <mergeCell ref="G29:K29"/>
    <mergeCell ref="G30:K30"/>
    <mergeCell ref="G27:K27"/>
    <mergeCell ref="G26:K26"/>
    <mergeCell ref="B10:C11"/>
    <mergeCell ref="I11:J11"/>
    <mergeCell ref="B14:C14"/>
    <mergeCell ref="B17:C17"/>
    <mergeCell ref="B23:C23"/>
    <mergeCell ref="E10:E11"/>
    <mergeCell ref="B24:C24"/>
    <mergeCell ref="F10:K10"/>
    <mergeCell ref="F11:G11"/>
    <mergeCell ref="B21:C21"/>
    <mergeCell ref="A33:E33"/>
    <mergeCell ref="A10:A11"/>
    <mergeCell ref="A27:C27"/>
    <mergeCell ref="A29:C29"/>
    <mergeCell ref="A30:C30"/>
    <mergeCell ref="A32:E32"/>
    <mergeCell ref="B12:C12"/>
    <mergeCell ref="B13:C13"/>
    <mergeCell ref="B15:C15"/>
    <mergeCell ref="B16:C16"/>
    <mergeCell ref="B22:C22"/>
    <mergeCell ref="H7:K7"/>
    <mergeCell ref="F7:G7"/>
    <mergeCell ref="B18:C18"/>
    <mergeCell ref="B19:C19"/>
    <mergeCell ref="B20:C20"/>
    <mergeCell ref="F9:G9"/>
    <mergeCell ref="H9:K9"/>
    <mergeCell ref="F8:G8"/>
    <mergeCell ref="H8:K8"/>
    <mergeCell ref="C7:D7"/>
    <mergeCell ref="C8:D8"/>
    <mergeCell ref="C9:D9"/>
  </mergeCells>
  <phoneticPr fontId="2" type="noConversion"/>
  <printOptions horizontalCentered="1"/>
  <pageMargins left="0.25" right="0.25" top="0.75" bottom="0" header="0.25" footer="0.25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249977111117893"/>
  </sheetPr>
  <dimension ref="A1:AO33"/>
  <sheetViews>
    <sheetView zoomScale="90" zoomScaleNormal="90" workbookViewId="0">
      <selection activeCell="AP27" sqref="AP27"/>
    </sheetView>
  </sheetViews>
  <sheetFormatPr defaultRowHeight="12.75" x14ac:dyDescent="0.2"/>
  <cols>
    <col min="1" max="1" width="4.28515625" style="1" customWidth="1"/>
    <col min="2" max="2" width="43.85546875" style="1" customWidth="1"/>
    <col min="3" max="3" width="6.140625" style="1" customWidth="1"/>
    <col min="4" max="4" width="6.5703125" style="1" customWidth="1"/>
    <col min="5" max="5" width="8" style="1" customWidth="1"/>
    <col min="6" max="6" width="5.42578125" style="1" customWidth="1"/>
    <col min="7" max="7" width="4.7109375" style="1" customWidth="1"/>
    <col min="8" max="8" width="4.42578125" style="1" customWidth="1"/>
    <col min="9" max="9" width="10.42578125" style="1" bestFit="1" customWidth="1"/>
    <col min="10" max="10" width="4.7109375" style="1" customWidth="1"/>
    <col min="11" max="11" width="5.42578125" style="1" customWidth="1"/>
    <col min="12" max="12" width="8.85546875" style="1" customWidth="1"/>
    <col min="13" max="13" width="5.42578125" style="1" customWidth="1"/>
    <col min="14" max="14" width="4" style="1" customWidth="1"/>
    <col min="15" max="15" width="4.42578125" style="1" customWidth="1"/>
    <col min="16" max="16" width="8.7109375" style="1" customWidth="1"/>
    <col min="17" max="17" width="6.85546875" style="1" customWidth="1"/>
    <col min="18" max="18" width="9.5703125" style="1" customWidth="1"/>
    <col min="19" max="19" width="7" style="1" customWidth="1"/>
    <col min="20" max="40" width="7" style="1" hidden="1" customWidth="1"/>
    <col min="41" max="41" width="7.85546875" style="1" hidden="1" customWidth="1"/>
    <col min="42" max="44" width="7" style="1" customWidth="1"/>
    <col min="45" max="16384" width="9.140625" style="1"/>
  </cols>
  <sheetData>
    <row r="1" spans="1:41" ht="15.75" x14ac:dyDescent="0.2">
      <c r="A1" s="265" t="s">
        <v>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41" ht="15.75" x14ac:dyDescent="0.2">
      <c r="A2" s="265" t="s">
        <v>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41" ht="16.5" customHeight="1" x14ac:dyDescent="0.2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41" ht="14.25" customHeight="1" x14ac:dyDescent="0.2">
      <c r="A4" s="15" t="s">
        <v>106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41" ht="14.25" customHeight="1" x14ac:dyDescent="0.2">
      <c r="A5" s="1" t="s">
        <v>181</v>
      </c>
      <c r="B5" s="15"/>
      <c r="C5" s="15"/>
      <c r="D5" s="15"/>
      <c r="E5" s="15"/>
      <c r="F5" s="15"/>
    </row>
    <row r="6" spans="1:41" ht="13.5" customHeight="1" x14ac:dyDescent="0.2">
      <c r="A6" s="234" t="s">
        <v>1</v>
      </c>
      <c r="B6" s="264" t="s">
        <v>107</v>
      </c>
      <c r="C6" s="264" t="s">
        <v>21</v>
      </c>
      <c r="D6" s="234" t="s">
        <v>9</v>
      </c>
      <c r="E6" s="234"/>
      <c r="F6" s="234"/>
      <c r="G6" s="234"/>
      <c r="H6" s="234"/>
      <c r="I6" s="234"/>
      <c r="J6" s="234" t="s">
        <v>21</v>
      </c>
      <c r="K6" s="234" t="s">
        <v>14</v>
      </c>
      <c r="L6" s="234"/>
      <c r="M6" s="234"/>
      <c r="N6" s="234"/>
      <c r="O6" s="234"/>
      <c r="P6" s="234"/>
      <c r="Q6" s="239" t="s">
        <v>15</v>
      </c>
      <c r="R6" s="264" t="s">
        <v>20</v>
      </c>
      <c r="AB6" s="31"/>
      <c r="AC6" s="31"/>
      <c r="AD6" s="31"/>
      <c r="AE6" s="31"/>
      <c r="AF6" s="31"/>
      <c r="AG6" s="31"/>
      <c r="AH6" s="31"/>
      <c r="AI6" s="31"/>
      <c r="AJ6" s="31"/>
    </row>
    <row r="7" spans="1:41" s="74" customFormat="1" ht="24" x14ac:dyDescent="0.2">
      <c r="A7" s="234"/>
      <c r="B7" s="264"/>
      <c r="C7" s="264"/>
      <c r="D7" s="266" t="s">
        <v>25</v>
      </c>
      <c r="E7" s="266"/>
      <c r="F7" s="130" t="s">
        <v>93</v>
      </c>
      <c r="G7" s="266" t="s">
        <v>16</v>
      </c>
      <c r="H7" s="266"/>
      <c r="I7" s="130" t="s">
        <v>17</v>
      </c>
      <c r="J7" s="234"/>
      <c r="K7" s="266" t="s">
        <v>25</v>
      </c>
      <c r="L7" s="266"/>
      <c r="M7" s="130" t="s">
        <v>93</v>
      </c>
      <c r="N7" s="266" t="s">
        <v>16</v>
      </c>
      <c r="O7" s="266"/>
      <c r="P7" s="130" t="s">
        <v>17</v>
      </c>
      <c r="Q7" s="239"/>
      <c r="R7" s="264"/>
      <c r="W7" s="74" t="s">
        <v>33</v>
      </c>
      <c r="X7" s="74" t="s">
        <v>34</v>
      </c>
      <c r="Y7" s="74" t="s">
        <v>28</v>
      </c>
      <c r="Z7" s="74" t="s">
        <v>29</v>
      </c>
      <c r="AA7" s="74" t="s">
        <v>30</v>
      </c>
      <c r="AB7" s="74" t="s">
        <v>31</v>
      </c>
      <c r="AC7" s="74" t="s">
        <v>36</v>
      </c>
      <c r="AD7" s="74" t="s">
        <v>37</v>
      </c>
      <c r="AE7" s="74" t="s">
        <v>38</v>
      </c>
      <c r="AF7" s="74" t="s">
        <v>39</v>
      </c>
    </row>
    <row r="8" spans="1:41" s="93" customFormat="1" ht="10.5" x14ac:dyDescent="0.2">
      <c r="A8" s="152">
        <v>1</v>
      </c>
      <c r="B8" s="153">
        <v>2</v>
      </c>
      <c r="C8" s="153">
        <v>3</v>
      </c>
      <c r="D8" s="253">
        <v>4</v>
      </c>
      <c r="E8" s="253"/>
      <c r="F8" s="153">
        <v>5</v>
      </c>
      <c r="G8" s="253">
        <v>6</v>
      </c>
      <c r="H8" s="253"/>
      <c r="I8" s="153">
        <v>7</v>
      </c>
      <c r="J8" s="153">
        <v>8</v>
      </c>
      <c r="K8" s="253">
        <v>9</v>
      </c>
      <c r="L8" s="253"/>
      <c r="M8" s="153">
        <v>10</v>
      </c>
      <c r="N8" s="253">
        <v>11</v>
      </c>
      <c r="O8" s="253"/>
      <c r="P8" s="153">
        <v>12</v>
      </c>
      <c r="Q8" s="153">
        <v>13</v>
      </c>
      <c r="R8" s="153">
        <v>14</v>
      </c>
    </row>
    <row r="9" spans="1:41" ht="29.25" customHeight="1" x14ac:dyDescent="0.2">
      <c r="A9" s="28">
        <f>'FORM SKP'!A12:C12</f>
        <v>1</v>
      </c>
      <c r="B9" s="171">
        <f>'FORM SKP'!B12:C12</f>
        <v>0</v>
      </c>
      <c r="C9" s="190">
        <f>'FORM SKP'!E12</f>
        <v>0</v>
      </c>
      <c r="D9" s="174">
        <f>'FORM SKP'!F12</f>
        <v>0</v>
      </c>
      <c r="E9" s="125">
        <f>'FORM SKP'!G12</f>
        <v>0</v>
      </c>
      <c r="F9" s="125">
        <f>'FORM SKP'!H12</f>
        <v>0</v>
      </c>
      <c r="G9" s="125">
        <f>'FORM SKP'!I12</f>
        <v>0</v>
      </c>
      <c r="H9" s="126">
        <f>'FORM SKP'!J12</f>
        <v>0</v>
      </c>
      <c r="I9" s="41"/>
      <c r="J9" s="34">
        <f>K9*'FORM SKP'!D12</f>
        <v>0</v>
      </c>
      <c r="K9" s="170"/>
      <c r="L9" s="35">
        <f>E9</f>
        <v>0</v>
      </c>
      <c r="M9" s="188"/>
      <c r="N9" s="175">
        <f>G9</f>
        <v>0</v>
      </c>
      <c r="O9" s="36">
        <f>H9</f>
        <v>0</v>
      </c>
      <c r="P9" s="72"/>
      <c r="Q9" s="29" t="e">
        <f>AG9</f>
        <v>#DIV/0!</v>
      </c>
      <c r="R9" s="37" t="e">
        <f>IF(P9="",Q9/3,Q9/4)</f>
        <v>#DIV/0!</v>
      </c>
      <c r="T9" s="1">
        <f>IF(D9&gt;0,1,0)</f>
        <v>0</v>
      </c>
      <c r="U9" s="1">
        <f>IFERROR(R9,0)</f>
        <v>0</v>
      </c>
      <c r="W9" s="1" t="e">
        <f>100-(N9/G9*100)</f>
        <v>#DIV/0!</v>
      </c>
      <c r="X9" s="30" t="e">
        <f>100-(P9/I9*100)</f>
        <v>#DIV/0!</v>
      </c>
      <c r="Y9" s="1" t="e">
        <f>K9/D9*100</f>
        <v>#DIV/0!</v>
      </c>
      <c r="Z9" s="1" t="e">
        <f>M9/F9*100</f>
        <v>#DIV/0!</v>
      </c>
      <c r="AA9" s="31" t="e">
        <f>IF(W9&gt;24,AD9,AC9)</f>
        <v>#DIV/0!</v>
      </c>
      <c r="AB9" s="31" t="e">
        <f>IF(X9&gt;24,AF9,AE9)</f>
        <v>#DIV/0!</v>
      </c>
      <c r="AC9" s="1" t="e">
        <f>((1.76*G9-N9)/G9)*100</f>
        <v>#DIV/0!</v>
      </c>
      <c r="AD9" s="1" t="e">
        <f>76-((((1.76*G9-N9)/G9)*100)-100)</f>
        <v>#DIV/0!</v>
      </c>
      <c r="AE9" s="1" t="e">
        <f>((1.76*I9-P9)/I9)*100</f>
        <v>#DIV/0!</v>
      </c>
      <c r="AF9" s="1" t="e">
        <f>76-((((1.76*I9-P9)/I9)*100)-100)</f>
        <v>#DIV/0!</v>
      </c>
      <c r="AG9" s="1" t="e">
        <f>IFERROR(SUM(Y9:AB9),SUM(Y9:AA9))</f>
        <v>#DIV/0!</v>
      </c>
      <c r="AK9" s="32" t="e">
        <f>100-(N9/G9*100)</f>
        <v>#DIV/0!</v>
      </c>
      <c r="AL9" s="18" t="e">
        <f>100-(P9/I9*100)</f>
        <v>#DIV/0!</v>
      </c>
      <c r="AM9" s="31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#DIV/0!</v>
      </c>
      <c r="AN9" s="31" t="e">
        <f>IF(AK9&gt;24,(((K9/D9*100)+(M9/F9*100)+(76-((((1.76*G9-N9)/G9)*100)-100)))),(((K9/D9*100)+(M9/F9*100)+(((1.76*G9-N9)/G9)*100))))</f>
        <v>#DIV/0!</v>
      </c>
      <c r="AO9" s="1" t="e">
        <f>IFERROR(AM9,AN9)</f>
        <v>#DIV/0!</v>
      </c>
    </row>
    <row r="10" spans="1:41" ht="29.25" customHeight="1" x14ac:dyDescent="0.2">
      <c r="A10" s="28">
        <f>'FORM SKP'!A13:C13</f>
        <v>2</v>
      </c>
      <c r="B10" s="171">
        <f>'FORM SKP'!B13:C13</f>
        <v>0</v>
      </c>
      <c r="C10" s="190">
        <f>'FORM SKP'!E13</f>
        <v>0</v>
      </c>
      <c r="D10" s="174">
        <f>'FORM SKP'!F13</f>
        <v>0</v>
      </c>
      <c r="E10" s="125">
        <f>'FORM SKP'!G13</f>
        <v>0</v>
      </c>
      <c r="F10" s="125">
        <f>'FORM SKP'!H13</f>
        <v>0</v>
      </c>
      <c r="G10" s="125">
        <f>'FORM SKP'!I13</f>
        <v>0</v>
      </c>
      <c r="H10" s="126">
        <f>'FORM SKP'!J13</f>
        <v>0</v>
      </c>
      <c r="I10" s="41"/>
      <c r="J10" s="34">
        <f>K10*'FORM SKP'!D13</f>
        <v>0</v>
      </c>
      <c r="K10" s="170"/>
      <c r="L10" s="35">
        <f t="shared" ref="L10:L21" si="0">E10</f>
        <v>0</v>
      </c>
      <c r="M10" s="189"/>
      <c r="N10" s="175">
        <f t="shared" ref="N10:N21" si="1">G10</f>
        <v>0</v>
      </c>
      <c r="O10" s="36">
        <f t="shared" ref="O10:O21" si="2">H10</f>
        <v>0</v>
      </c>
      <c r="P10" s="72"/>
      <c r="Q10" s="29" t="e">
        <f t="shared" ref="Q10:Q21" si="3">AG10</f>
        <v>#DIV/0!</v>
      </c>
      <c r="R10" s="37" t="e">
        <f t="shared" ref="R10:R21" si="4">IF(P10="",Q10/3,Q10/4)</f>
        <v>#DIV/0!</v>
      </c>
      <c r="T10" s="1">
        <f t="shared" ref="T10:T21" si="5">IF(D10&gt;0,1,0)</f>
        <v>0</v>
      </c>
      <c r="U10" s="1">
        <f t="shared" ref="U10:U21" si="6">IFERROR(R10,0)</f>
        <v>0</v>
      </c>
      <c r="W10" s="1" t="e">
        <f t="shared" ref="W10:W21" si="7">100-(N10/G10*100)</f>
        <v>#DIV/0!</v>
      </c>
      <c r="X10" s="30" t="e">
        <f t="shared" ref="X10:X21" si="8">100-(P10/I10*100)</f>
        <v>#DIV/0!</v>
      </c>
      <c r="Y10" s="1" t="e">
        <f t="shared" ref="Y10:Y21" si="9">K10/D10*100</f>
        <v>#DIV/0!</v>
      </c>
      <c r="Z10" s="1" t="e">
        <f t="shared" ref="Z10:Z21" si="10">M10/F10*100</f>
        <v>#DIV/0!</v>
      </c>
      <c r="AA10" s="31" t="e">
        <f t="shared" ref="AA10:AA21" si="11">IF(W10&gt;24,AD10,AC10)</f>
        <v>#DIV/0!</v>
      </c>
      <c r="AB10" s="31" t="e">
        <f t="shared" ref="AB10:AB21" si="12">IF(X10&gt;24,AF10,AE10)</f>
        <v>#DIV/0!</v>
      </c>
      <c r="AC10" s="1" t="e">
        <f t="shared" ref="AC10:AC21" si="13">((1.76*G10-N10)/G10)*100</f>
        <v>#DIV/0!</v>
      </c>
      <c r="AD10" s="1" t="e">
        <f t="shared" ref="AD10:AD21" si="14">76-((((1.76*G10-N10)/G10)*100)-100)</f>
        <v>#DIV/0!</v>
      </c>
      <c r="AE10" s="1" t="e">
        <f t="shared" ref="AE10:AE21" si="15">((1.76*I10-P10)/I10)*100</f>
        <v>#DIV/0!</v>
      </c>
      <c r="AF10" s="1" t="e">
        <f t="shared" ref="AF10:AF21" si="16">76-((((1.76*I10-P10)/I10)*100)-100)</f>
        <v>#DIV/0!</v>
      </c>
      <c r="AG10" s="1" t="e">
        <f t="shared" ref="AG10:AG21" si="17">IFERROR(SUM(Y10:AB10),SUM(Y10:AA10))</f>
        <v>#DIV/0!</v>
      </c>
      <c r="AK10" s="32" t="e">
        <f t="shared" ref="AK10:AK21" si="18">100-(N10/G10*100)</f>
        <v>#DIV/0!</v>
      </c>
      <c r="AL10" s="18" t="e">
        <f t="shared" ref="AL10:AL21" si="19">100-(P10/I10*100)</f>
        <v>#DIV/0!</v>
      </c>
      <c r="AM10" s="31" t="e">
        <f t="shared" ref="AM10:AM21" si="20"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#DIV/0!</v>
      </c>
      <c r="AN10" s="31" t="e">
        <f t="shared" ref="AN10:AN21" si="21">IF(AK10&gt;24,(((K10/D10*100)+(M10/F10*100)+(76-((((1.76*G10-N10)/G10)*100)-100)))),(((K10/D10*100)+(M10/F10*100)+(((1.76*G10-N10)/G10)*100))))</f>
        <v>#DIV/0!</v>
      </c>
      <c r="AO10" s="1" t="e">
        <f t="shared" ref="AO10:AO21" si="22">IFERROR(AM10,AN10)</f>
        <v>#DIV/0!</v>
      </c>
    </row>
    <row r="11" spans="1:41" ht="29.25" customHeight="1" x14ac:dyDescent="0.2">
      <c r="A11" s="28">
        <f>'FORM SKP'!A14:C14</f>
        <v>3</v>
      </c>
      <c r="B11" s="171">
        <f>'FORM SKP'!B14:C14</f>
        <v>0</v>
      </c>
      <c r="C11" s="190">
        <f>'FORM SKP'!E14</f>
        <v>0</v>
      </c>
      <c r="D11" s="174">
        <f>'FORM SKP'!F14</f>
        <v>0</v>
      </c>
      <c r="E11" s="125">
        <f>'FORM SKP'!G14</f>
        <v>0</v>
      </c>
      <c r="F11" s="125">
        <f>'FORM SKP'!H14</f>
        <v>0</v>
      </c>
      <c r="G11" s="125">
        <f>'FORM SKP'!I14</f>
        <v>0</v>
      </c>
      <c r="H11" s="126">
        <f>'FORM SKP'!J14</f>
        <v>0</v>
      </c>
      <c r="I11" s="41"/>
      <c r="J11" s="34">
        <f>K11*'FORM SKP'!D14</f>
        <v>0</v>
      </c>
      <c r="K11" s="170"/>
      <c r="L11" s="35">
        <f t="shared" si="0"/>
        <v>0</v>
      </c>
      <c r="M11" s="189"/>
      <c r="N11" s="175">
        <f t="shared" si="1"/>
        <v>0</v>
      </c>
      <c r="O11" s="36">
        <f t="shared" si="2"/>
        <v>0</v>
      </c>
      <c r="P11" s="72"/>
      <c r="Q11" s="29" t="e">
        <f t="shared" si="3"/>
        <v>#DIV/0!</v>
      </c>
      <c r="R11" s="37" t="e">
        <f t="shared" si="4"/>
        <v>#DIV/0!</v>
      </c>
      <c r="T11" s="1">
        <f t="shared" si="5"/>
        <v>0</v>
      </c>
      <c r="U11" s="1">
        <f t="shared" si="6"/>
        <v>0</v>
      </c>
      <c r="W11" s="1" t="e">
        <f t="shared" si="7"/>
        <v>#DIV/0!</v>
      </c>
      <c r="X11" s="30" t="e">
        <f t="shared" si="8"/>
        <v>#DIV/0!</v>
      </c>
      <c r="Y11" s="1" t="e">
        <f t="shared" si="9"/>
        <v>#DIV/0!</v>
      </c>
      <c r="Z11" s="1" t="e">
        <f t="shared" si="10"/>
        <v>#DIV/0!</v>
      </c>
      <c r="AA11" s="31" t="e">
        <f t="shared" si="11"/>
        <v>#DIV/0!</v>
      </c>
      <c r="AB11" s="31" t="e">
        <f t="shared" si="12"/>
        <v>#DIV/0!</v>
      </c>
      <c r="AC11" s="1" t="e">
        <f t="shared" si="13"/>
        <v>#DIV/0!</v>
      </c>
      <c r="AD11" s="1" t="e">
        <f t="shared" si="14"/>
        <v>#DIV/0!</v>
      </c>
      <c r="AE11" s="1" t="e">
        <f t="shared" si="15"/>
        <v>#DIV/0!</v>
      </c>
      <c r="AF11" s="1" t="e">
        <f t="shared" si="16"/>
        <v>#DIV/0!</v>
      </c>
      <c r="AG11" s="1" t="e">
        <f t="shared" si="17"/>
        <v>#DIV/0!</v>
      </c>
      <c r="AK11" s="32" t="e">
        <f t="shared" si="18"/>
        <v>#DIV/0!</v>
      </c>
      <c r="AL11" s="18" t="e">
        <f t="shared" si="19"/>
        <v>#DIV/0!</v>
      </c>
      <c r="AM11" s="31" t="e">
        <f t="shared" si="20"/>
        <v>#DIV/0!</v>
      </c>
      <c r="AN11" s="31" t="e">
        <f t="shared" si="21"/>
        <v>#DIV/0!</v>
      </c>
      <c r="AO11" s="1" t="e">
        <f t="shared" si="22"/>
        <v>#DIV/0!</v>
      </c>
    </row>
    <row r="12" spans="1:41" ht="29.25" customHeight="1" x14ac:dyDescent="0.2">
      <c r="A12" s="28">
        <f>'FORM SKP'!A15:C15</f>
        <v>4</v>
      </c>
      <c r="B12" s="171">
        <f>'FORM SKP'!B15:C15</f>
        <v>0</v>
      </c>
      <c r="C12" s="190">
        <f>'FORM SKP'!E15</f>
        <v>0</v>
      </c>
      <c r="D12" s="174">
        <f>'FORM SKP'!F15</f>
        <v>0</v>
      </c>
      <c r="E12" s="125">
        <f>'FORM SKP'!G15</f>
        <v>0</v>
      </c>
      <c r="F12" s="125">
        <f>'FORM SKP'!H15</f>
        <v>0</v>
      </c>
      <c r="G12" s="125">
        <f>'FORM SKP'!I15</f>
        <v>0</v>
      </c>
      <c r="H12" s="126">
        <f>'FORM SKP'!J15</f>
        <v>0</v>
      </c>
      <c r="I12" s="41"/>
      <c r="J12" s="34">
        <f>K12*'FORM SKP'!D15</f>
        <v>0</v>
      </c>
      <c r="K12" s="170"/>
      <c r="L12" s="35">
        <f t="shared" si="0"/>
        <v>0</v>
      </c>
      <c r="M12" s="189"/>
      <c r="N12" s="175">
        <f t="shared" si="1"/>
        <v>0</v>
      </c>
      <c r="O12" s="36">
        <f t="shared" si="2"/>
        <v>0</v>
      </c>
      <c r="P12" s="72"/>
      <c r="Q12" s="29" t="e">
        <f t="shared" si="3"/>
        <v>#DIV/0!</v>
      </c>
      <c r="R12" s="37" t="e">
        <f t="shared" si="4"/>
        <v>#DIV/0!</v>
      </c>
      <c r="T12" s="1">
        <f t="shared" si="5"/>
        <v>0</v>
      </c>
      <c r="U12" s="1">
        <f t="shared" si="6"/>
        <v>0</v>
      </c>
      <c r="W12" s="1" t="e">
        <f t="shared" si="7"/>
        <v>#DIV/0!</v>
      </c>
      <c r="X12" s="30" t="e">
        <f t="shared" si="8"/>
        <v>#DIV/0!</v>
      </c>
      <c r="Y12" s="1" t="e">
        <f t="shared" si="9"/>
        <v>#DIV/0!</v>
      </c>
      <c r="Z12" s="1" t="e">
        <f t="shared" si="10"/>
        <v>#DIV/0!</v>
      </c>
      <c r="AA12" s="31" t="e">
        <f t="shared" si="11"/>
        <v>#DIV/0!</v>
      </c>
      <c r="AB12" s="31" t="e">
        <f t="shared" si="12"/>
        <v>#DIV/0!</v>
      </c>
      <c r="AC12" s="1" t="e">
        <f t="shared" si="13"/>
        <v>#DIV/0!</v>
      </c>
      <c r="AD12" s="1" t="e">
        <f t="shared" si="14"/>
        <v>#DIV/0!</v>
      </c>
      <c r="AE12" s="1" t="e">
        <f t="shared" si="15"/>
        <v>#DIV/0!</v>
      </c>
      <c r="AF12" s="1" t="e">
        <f t="shared" si="16"/>
        <v>#DIV/0!</v>
      </c>
      <c r="AG12" s="1" t="e">
        <f t="shared" si="17"/>
        <v>#DIV/0!</v>
      </c>
      <c r="AK12" s="32" t="e">
        <f t="shared" si="18"/>
        <v>#DIV/0!</v>
      </c>
      <c r="AL12" s="18" t="e">
        <f t="shared" si="19"/>
        <v>#DIV/0!</v>
      </c>
      <c r="AM12" s="31" t="e">
        <f t="shared" si="20"/>
        <v>#DIV/0!</v>
      </c>
      <c r="AN12" s="31" t="e">
        <f t="shared" si="21"/>
        <v>#DIV/0!</v>
      </c>
      <c r="AO12" s="1" t="e">
        <f t="shared" si="22"/>
        <v>#DIV/0!</v>
      </c>
    </row>
    <row r="13" spans="1:41" ht="29.25" customHeight="1" x14ac:dyDescent="0.2">
      <c r="A13" s="28">
        <f>'FORM SKP'!A16:C16</f>
        <v>5</v>
      </c>
      <c r="B13" s="171">
        <f>'FORM SKP'!B16:C16</f>
        <v>0</v>
      </c>
      <c r="C13" s="190">
        <f>'FORM SKP'!E16</f>
        <v>0</v>
      </c>
      <c r="D13" s="174">
        <f>'FORM SKP'!F16</f>
        <v>0</v>
      </c>
      <c r="E13" s="125">
        <f>'FORM SKP'!G16</f>
        <v>0</v>
      </c>
      <c r="F13" s="125">
        <f>'FORM SKP'!H16</f>
        <v>0</v>
      </c>
      <c r="G13" s="125">
        <f>'FORM SKP'!I16</f>
        <v>0</v>
      </c>
      <c r="H13" s="126">
        <f>'FORM SKP'!J16</f>
        <v>0</v>
      </c>
      <c r="I13" s="41"/>
      <c r="J13" s="34">
        <f>K13*'FORM SKP'!D16</f>
        <v>0</v>
      </c>
      <c r="K13" s="170"/>
      <c r="L13" s="35">
        <f t="shared" si="0"/>
        <v>0</v>
      </c>
      <c r="M13" s="189"/>
      <c r="N13" s="175">
        <f t="shared" si="1"/>
        <v>0</v>
      </c>
      <c r="O13" s="36">
        <f t="shared" si="2"/>
        <v>0</v>
      </c>
      <c r="P13" s="72"/>
      <c r="Q13" s="29" t="e">
        <f t="shared" si="3"/>
        <v>#DIV/0!</v>
      </c>
      <c r="R13" s="37" t="e">
        <f t="shared" si="4"/>
        <v>#DIV/0!</v>
      </c>
      <c r="T13" s="1">
        <f t="shared" si="5"/>
        <v>0</v>
      </c>
      <c r="U13" s="1">
        <f t="shared" si="6"/>
        <v>0</v>
      </c>
      <c r="W13" s="1" t="e">
        <f t="shared" si="7"/>
        <v>#DIV/0!</v>
      </c>
      <c r="X13" s="30" t="e">
        <f t="shared" si="8"/>
        <v>#DIV/0!</v>
      </c>
      <c r="Y13" s="1" t="e">
        <f t="shared" si="9"/>
        <v>#DIV/0!</v>
      </c>
      <c r="Z13" s="1" t="e">
        <f t="shared" si="10"/>
        <v>#DIV/0!</v>
      </c>
      <c r="AA13" s="31" t="e">
        <f t="shared" si="11"/>
        <v>#DIV/0!</v>
      </c>
      <c r="AB13" s="31" t="e">
        <f t="shared" si="12"/>
        <v>#DIV/0!</v>
      </c>
      <c r="AC13" s="1" t="e">
        <f t="shared" si="13"/>
        <v>#DIV/0!</v>
      </c>
      <c r="AD13" s="1" t="e">
        <f t="shared" si="14"/>
        <v>#DIV/0!</v>
      </c>
      <c r="AE13" s="1" t="e">
        <f t="shared" si="15"/>
        <v>#DIV/0!</v>
      </c>
      <c r="AF13" s="1" t="e">
        <f t="shared" si="16"/>
        <v>#DIV/0!</v>
      </c>
      <c r="AG13" s="1" t="e">
        <f t="shared" si="17"/>
        <v>#DIV/0!</v>
      </c>
      <c r="AK13" s="32" t="e">
        <f t="shared" si="18"/>
        <v>#DIV/0!</v>
      </c>
      <c r="AL13" s="18" t="e">
        <f t="shared" si="19"/>
        <v>#DIV/0!</v>
      </c>
      <c r="AM13" s="31" t="e">
        <f t="shared" si="20"/>
        <v>#DIV/0!</v>
      </c>
      <c r="AN13" s="31" t="e">
        <f t="shared" si="21"/>
        <v>#DIV/0!</v>
      </c>
      <c r="AO13" s="1" t="e">
        <f t="shared" si="22"/>
        <v>#DIV/0!</v>
      </c>
    </row>
    <row r="14" spans="1:41" ht="29.25" customHeight="1" x14ac:dyDescent="0.2">
      <c r="A14" s="28">
        <f>'FORM SKP'!A17:C17</f>
        <v>6</v>
      </c>
      <c r="B14" s="171">
        <f>'FORM SKP'!B17:C17</f>
        <v>0</v>
      </c>
      <c r="C14" s="190">
        <f>'FORM SKP'!E17</f>
        <v>0</v>
      </c>
      <c r="D14" s="174">
        <f>'FORM SKP'!F17</f>
        <v>0</v>
      </c>
      <c r="E14" s="125">
        <f>'FORM SKP'!G17</f>
        <v>0</v>
      </c>
      <c r="F14" s="125">
        <f>'FORM SKP'!H17</f>
        <v>0</v>
      </c>
      <c r="G14" s="125">
        <f>'FORM SKP'!I17</f>
        <v>0</v>
      </c>
      <c r="H14" s="126">
        <f>'FORM SKP'!J17</f>
        <v>0</v>
      </c>
      <c r="I14" s="41"/>
      <c r="J14" s="34">
        <f>K14*'FORM SKP'!D17</f>
        <v>0</v>
      </c>
      <c r="K14" s="170"/>
      <c r="L14" s="35">
        <f t="shared" si="0"/>
        <v>0</v>
      </c>
      <c r="M14" s="189"/>
      <c r="N14" s="175">
        <f t="shared" si="1"/>
        <v>0</v>
      </c>
      <c r="O14" s="36">
        <f t="shared" si="2"/>
        <v>0</v>
      </c>
      <c r="P14" s="72"/>
      <c r="Q14" s="29" t="e">
        <f t="shared" si="3"/>
        <v>#DIV/0!</v>
      </c>
      <c r="R14" s="37" t="e">
        <f t="shared" si="4"/>
        <v>#DIV/0!</v>
      </c>
      <c r="T14" s="1">
        <f t="shared" si="5"/>
        <v>0</v>
      </c>
      <c r="U14" s="1">
        <f t="shared" si="6"/>
        <v>0</v>
      </c>
      <c r="W14" s="1" t="e">
        <f t="shared" si="7"/>
        <v>#DIV/0!</v>
      </c>
      <c r="X14" s="30" t="e">
        <f t="shared" si="8"/>
        <v>#DIV/0!</v>
      </c>
      <c r="Y14" s="1" t="e">
        <f t="shared" si="9"/>
        <v>#DIV/0!</v>
      </c>
      <c r="Z14" s="1" t="e">
        <f t="shared" si="10"/>
        <v>#DIV/0!</v>
      </c>
      <c r="AA14" s="31" t="e">
        <f t="shared" si="11"/>
        <v>#DIV/0!</v>
      </c>
      <c r="AB14" s="31" t="e">
        <f t="shared" si="12"/>
        <v>#DIV/0!</v>
      </c>
      <c r="AC14" s="1" t="e">
        <f t="shared" si="13"/>
        <v>#DIV/0!</v>
      </c>
      <c r="AD14" s="1" t="e">
        <f t="shared" si="14"/>
        <v>#DIV/0!</v>
      </c>
      <c r="AE14" s="1" t="e">
        <f t="shared" si="15"/>
        <v>#DIV/0!</v>
      </c>
      <c r="AF14" s="1" t="e">
        <f t="shared" si="16"/>
        <v>#DIV/0!</v>
      </c>
      <c r="AG14" s="1" t="e">
        <f t="shared" si="17"/>
        <v>#DIV/0!</v>
      </c>
      <c r="AK14" s="32" t="e">
        <f t="shared" si="18"/>
        <v>#DIV/0!</v>
      </c>
      <c r="AL14" s="18" t="e">
        <f t="shared" si="19"/>
        <v>#DIV/0!</v>
      </c>
      <c r="AM14" s="31" t="e">
        <f t="shared" si="20"/>
        <v>#DIV/0!</v>
      </c>
      <c r="AN14" s="31" t="e">
        <f t="shared" si="21"/>
        <v>#DIV/0!</v>
      </c>
      <c r="AO14" s="1" t="e">
        <f t="shared" si="22"/>
        <v>#DIV/0!</v>
      </c>
    </row>
    <row r="15" spans="1:41" ht="29.25" customHeight="1" x14ac:dyDescent="0.2">
      <c r="A15" s="28">
        <f>'FORM SKP'!A18:C18</f>
        <v>7</v>
      </c>
      <c r="B15" s="171">
        <f>'FORM SKP'!B18:C18</f>
        <v>0</v>
      </c>
      <c r="C15" s="190">
        <f>'FORM SKP'!E18</f>
        <v>0</v>
      </c>
      <c r="D15" s="174">
        <f>'FORM SKP'!F18</f>
        <v>0</v>
      </c>
      <c r="E15" s="125">
        <f>'FORM SKP'!G18</f>
        <v>0</v>
      </c>
      <c r="F15" s="125">
        <f>'FORM SKP'!H18</f>
        <v>0</v>
      </c>
      <c r="G15" s="125">
        <f>'FORM SKP'!I18</f>
        <v>0</v>
      </c>
      <c r="H15" s="126">
        <f>'FORM SKP'!J18</f>
        <v>0</v>
      </c>
      <c r="I15" s="41"/>
      <c r="J15" s="34">
        <f>K15*'FORM SKP'!D18</f>
        <v>0</v>
      </c>
      <c r="K15" s="170"/>
      <c r="L15" s="35">
        <f t="shared" si="0"/>
        <v>0</v>
      </c>
      <c r="M15" s="189"/>
      <c r="N15" s="175">
        <f t="shared" si="1"/>
        <v>0</v>
      </c>
      <c r="O15" s="36">
        <f t="shared" si="2"/>
        <v>0</v>
      </c>
      <c r="P15" s="72"/>
      <c r="Q15" s="29" t="e">
        <f t="shared" si="3"/>
        <v>#DIV/0!</v>
      </c>
      <c r="R15" s="37" t="e">
        <f t="shared" si="4"/>
        <v>#DIV/0!</v>
      </c>
      <c r="T15" s="1">
        <f t="shared" si="5"/>
        <v>0</v>
      </c>
      <c r="U15" s="1">
        <f t="shared" si="6"/>
        <v>0</v>
      </c>
      <c r="W15" s="1" t="e">
        <f t="shared" si="7"/>
        <v>#DIV/0!</v>
      </c>
      <c r="X15" s="30" t="e">
        <f t="shared" si="8"/>
        <v>#DIV/0!</v>
      </c>
      <c r="Y15" s="1" t="e">
        <f t="shared" si="9"/>
        <v>#DIV/0!</v>
      </c>
      <c r="Z15" s="1" t="e">
        <f t="shared" si="10"/>
        <v>#DIV/0!</v>
      </c>
      <c r="AA15" s="31" t="e">
        <f t="shared" si="11"/>
        <v>#DIV/0!</v>
      </c>
      <c r="AB15" s="31" t="e">
        <f t="shared" si="12"/>
        <v>#DIV/0!</v>
      </c>
      <c r="AC15" s="1" t="e">
        <f t="shared" si="13"/>
        <v>#DIV/0!</v>
      </c>
      <c r="AD15" s="1" t="e">
        <f t="shared" si="14"/>
        <v>#DIV/0!</v>
      </c>
      <c r="AE15" s="1" t="e">
        <f t="shared" si="15"/>
        <v>#DIV/0!</v>
      </c>
      <c r="AF15" s="1" t="e">
        <f t="shared" si="16"/>
        <v>#DIV/0!</v>
      </c>
      <c r="AG15" s="1" t="e">
        <f t="shared" si="17"/>
        <v>#DIV/0!</v>
      </c>
      <c r="AK15" s="32" t="e">
        <f t="shared" si="18"/>
        <v>#DIV/0!</v>
      </c>
      <c r="AL15" s="18" t="e">
        <f t="shared" si="19"/>
        <v>#DIV/0!</v>
      </c>
      <c r="AM15" s="31" t="e">
        <f t="shared" si="20"/>
        <v>#DIV/0!</v>
      </c>
      <c r="AN15" s="31" t="e">
        <f t="shared" si="21"/>
        <v>#DIV/0!</v>
      </c>
      <c r="AO15" s="1" t="e">
        <f t="shared" si="22"/>
        <v>#DIV/0!</v>
      </c>
    </row>
    <row r="16" spans="1:41" ht="29.25" customHeight="1" x14ac:dyDescent="0.2">
      <c r="A16" s="28">
        <f>'FORM SKP'!A19:C19</f>
        <v>8</v>
      </c>
      <c r="B16" s="171">
        <f>'FORM SKP'!B19:C19</f>
        <v>0</v>
      </c>
      <c r="C16" s="190">
        <f>'FORM SKP'!E19</f>
        <v>0</v>
      </c>
      <c r="D16" s="174">
        <f>'FORM SKP'!F19</f>
        <v>0</v>
      </c>
      <c r="E16" s="125">
        <f>'FORM SKP'!G19</f>
        <v>0</v>
      </c>
      <c r="F16" s="125">
        <f>'FORM SKP'!H19</f>
        <v>0</v>
      </c>
      <c r="G16" s="125">
        <f>'FORM SKP'!I19</f>
        <v>0</v>
      </c>
      <c r="H16" s="126">
        <f>'FORM SKP'!J19</f>
        <v>0</v>
      </c>
      <c r="I16" s="41"/>
      <c r="J16" s="34">
        <f>K16*'FORM SKP'!D19</f>
        <v>0</v>
      </c>
      <c r="K16" s="170"/>
      <c r="L16" s="35">
        <f t="shared" si="0"/>
        <v>0</v>
      </c>
      <c r="M16" s="189"/>
      <c r="N16" s="175">
        <f t="shared" si="1"/>
        <v>0</v>
      </c>
      <c r="O16" s="36">
        <f t="shared" si="2"/>
        <v>0</v>
      </c>
      <c r="P16" s="72"/>
      <c r="Q16" s="29" t="e">
        <f t="shared" si="3"/>
        <v>#DIV/0!</v>
      </c>
      <c r="R16" s="37" t="e">
        <f t="shared" si="4"/>
        <v>#DIV/0!</v>
      </c>
      <c r="T16" s="1">
        <f t="shared" si="5"/>
        <v>0</v>
      </c>
      <c r="U16" s="1">
        <f t="shared" si="6"/>
        <v>0</v>
      </c>
      <c r="W16" s="1" t="e">
        <f t="shared" si="7"/>
        <v>#DIV/0!</v>
      </c>
      <c r="X16" s="30" t="e">
        <f t="shared" si="8"/>
        <v>#DIV/0!</v>
      </c>
      <c r="Y16" s="1" t="e">
        <f t="shared" si="9"/>
        <v>#DIV/0!</v>
      </c>
      <c r="Z16" s="1" t="e">
        <f t="shared" si="10"/>
        <v>#DIV/0!</v>
      </c>
      <c r="AA16" s="31" t="e">
        <f t="shared" si="11"/>
        <v>#DIV/0!</v>
      </c>
      <c r="AB16" s="31" t="e">
        <f t="shared" si="12"/>
        <v>#DIV/0!</v>
      </c>
      <c r="AC16" s="1" t="e">
        <f t="shared" si="13"/>
        <v>#DIV/0!</v>
      </c>
      <c r="AD16" s="1" t="e">
        <f t="shared" si="14"/>
        <v>#DIV/0!</v>
      </c>
      <c r="AE16" s="1" t="e">
        <f t="shared" si="15"/>
        <v>#DIV/0!</v>
      </c>
      <c r="AF16" s="1" t="e">
        <f t="shared" si="16"/>
        <v>#DIV/0!</v>
      </c>
      <c r="AG16" s="1" t="e">
        <f t="shared" si="17"/>
        <v>#DIV/0!</v>
      </c>
      <c r="AK16" s="32" t="e">
        <f t="shared" si="18"/>
        <v>#DIV/0!</v>
      </c>
      <c r="AL16" s="18" t="e">
        <f t="shared" si="19"/>
        <v>#DIV/0!</v>
      </c>
      <c r="AM16" s="31" t="e">
        <f t="shared" si="20"/>
        <v>#DIV/0!</v>
      </c>
      <c r="AN16" s="31" t="e">
        <f t="shared" si="21"/>
        <v>#DIV/0!</v>
      </c>
      <c r="AO16" s="1" t="e">
        <f t="shared" si="22"/>
        <v>#DIV/0!</v>
      </c>
    </row>
    <row r="17" spans="1:41" ht="29.25" customHeight="1" x14ac:dyDescent="0.2">
      <c r="A17" s="28">
        <f>'FORM SKP'!A20:C20</f>
        <v>9</v>
      </c>
      <c r="B17" s="171">
        <f>'FORM SKP'!B20:C20</f>
        <v>0</v>
      </c>
      <c r="C17" s="190">
        <f>'FORM SKP'!E20</f>
        <v>0</v>
      </c>
      <c r="D17" s="174">
        <f>'FORM SKP'!F20</f>
        <v>0</v>
      </c>
      <c r="E17" s="125">
        <f>'FORM SKP'!G20</f>
        <v>0</v>
      </c>
      <c r="F17" s="125">
        <f>'FORM SKP'!H20</f>
        <v>0</v>
      </c>
      <c r="G17" s="125">
        <f>'FORM SKP'!I20</f>
        <v>0</v>
      </c>
      <c r="H17" s="126">
        <f>'FORM SKP'!J20</f>
        <v>0</v>
      </c>
      <c r="I17" s="41"/>
      <c r="J17" s="34">
        <f>K17*'FORM SKP'!D20</f>
        <v>0</v>
      </c>
      <c r="K17" s="170"/>
      <c r="L17" s="35">
        <f t="shared" si="0"/>
        <v>0</v>
      </c>
      <c r="M17" s="189"/>
      <c r="N17" s="175">
        <f t="shared" si="1"/>
        <v>0</v>
      </c>
      <c r="O17" s="36">
        <f t="shared" si="2"/>
        <v>0</v>
      </c>
      <c r="P17" s="72"/>
      <c r="Q17" s="29" t="e">
        <f t="shared" si="3"/>
        <v>#DIV/0!</v>
      </c>
      <c r="R17" s="37" t="e">
        <f t="shared" si="4"/>
        <v>#DIV/0!</v>
      </c>
      <c r="T17" s="1">
        <f t="shared" si="5"/>
        <v>0</v>
      </c>
      <c r="U17" s="1">
        <f t="shared" si="6"/>
        <v>0</v>
      </c>
      <c r="W17" s="1" t="e">
        <f t="shared" si="7"/>
        <v>#DIV/0!</v>
      </c>
      <c r="X17" s="30" t="e">
        <f t="shared" si="8"/>
        <v>#DIV/0!</v>
      </c>
      <c r="Y17" s="1" t="e">
        <f t="shared" si="9"/>
        <v>#DIV/0!</v>
      </c>
      <c r="Z17" s="1" t="e">
        <f t="shared" si="10"/>
        <v>#DIV/0!</v>
      </c>
      <c r="AA17" s="31" t="e">
        <f t="shared" si="11"/>
        <v>#DIV/0!</v>
      </c>
      <c r="AB17" s="31" t="e">
        <f t="shared" si="12"/>
        <v>#DIV/0!</v>
      </c>
      <c r="AC17" s="1" t="e">
        <f t="shared" si="13"/>
        <v>#DIV/0!</v>
      </c>
      <c r="AD17" s="1" t="e">
        <f t="shared" si="14"/>
        <v>#DIV/0!</v>
      </c>
      <c r="AE17" s="1" t="e">
        <f t="shared" si="15"/>
        <v>#DIV/0!</v>
      </c>
      <c r="AF17" s="1" t="e">
        <f t="shared" si="16"/>
        <v>#DIV/0!</v>
      </c>
      <c r="AG17" s="1" t="e">
        <f t="shared" si="17"/>
        <v>#DIV/0!</v>
      </c>
      <c r="AK17" s="32" t="e">
        <f t="shared" si="18"/>
        <v>#DIV/0!</v>
      </c>
      <c r="AL17" s="18" t="e">
        <f t="shared" si="19"/>
        <v>#DIV/0!</v>
      </c>
      <c r="AM17" s="31" t="e">
        <f t="shared" si="20"/>
        <v>#DIV/0!</v>
      </c>
      <c r="AN17" s="31" t="e">
        <f t="shared" si="21"/>
        <v>#DIV/0!</v>
      </c>
      <c r="AO17" s="1" t="e">
        <f t="shared" si="22"/>
        <v>#DIV/0!</v>
      </c>
    </row>
    <row r="18" spans="1:41" ht="29.25" customHeight="1" x14ac:dyDescent="0.2">
      <c r="A18" s="28">
        <f>'FORM SKP'!A21:C21</f>
        <v>10</v>
      </c>
      <c r="B18" s="171">
        <f>'FORM SKP'!B21:C21</f>
        <v>0</v>
      </c>
      <c r="C18" s="190">
        <f>'FORM SKP'!E24</f>
        <v>0</v>
      </c>
      <c r="D18" s="174">
        <f>'FORM SKP'!F21</f>
        <v>0</v>
      </c>
      <c r="E18" s="125">
        <f>'FORM SKP'!G21</f>
        <v>0</v>
      </c>
      <c r="F18" s="125">
        <f>'FORM SKP'!H21</f>
        <v>0</v>
      </c>
      <c r="G18" s="125">
        <f>'FORM SKP'!I21</f>
        <v>0</v>
      </c>
      <c r="H18" s="126">
        <f>'FORM SKP'!J21</f>
        <v>0</v>
      </c>
      <c r="I18" s="41"/>
      <c r="J18" s="34">
        <f>K18*'FORM SKP'!D24</f>
        <v>0</v>
      </c>
      <c r="K18" s="170"/>
      <c r="L18" s="35">
        <f t="shared" si="0"/>
        <v>0</v>
      </c>
      <c r="M18" s="189"/>
      <c r="N18" s="175">
        <f t="shared" si="1"/>
        <v>0</v>
      </c>
      <c r="O18" s="36">
        <f t="shared" si="2"/>
        <v>0</v>
      </c>
      <c r="P18" s="72"/>
      <c r="Q18" s="29" t="e">
        <f t="shared" si="3"/>
        <v>#DIV/0!</v>
      </c>
      <c r="R18" s="37" t="e">
        <f t="shared" si="4"/>
        <v>#DIV/0!</v>
      </c>
      <c r="T18" s="1">
        <f t="shared" si="5"/>
        <v>0</v>
      </c>
      <c r="U18" s="1">
        <f t="shared" si="6"/>
        <v>0</v>
      </c>
      <c r="W18" s="1" t="e">
        <f t="shared" si="7"/>
        <v>#DIV/0!</v>
      </c>
      <c r="X18" s="30" t="e">
        <f t="shared" si="8"/>
        <v>#DIV/0!</v>
      </c>
      <c r="Y18" s="1" t="e">
        <f t="shared" si="9"/>
        <v>#DIV/0!</v>
      </c>
      <c r="Z18" s="1" t="e">
        <f t="shared" si="10"/>
        <v>#DIV/0!</v>
      </c>
      <c r="AA18" s="31" t="e">
        <f t="shared" si="11"/>
        <v>#DIV/0!</v>
      </c>
      <c r="AB18" s="31" t="e">
        <f t="shared" si="12"/>
        <v>#DIV/0!</v>
      </c>
      <c r="AC18" s="1" t="e">
        <f t="shared" si="13"/>
        <v>#DIV/0!</v>
      </c>
      <c r="AD18" s="1" t="e">
        <f t="shared" si="14"/>
        <v>#DIV/0!</v>
      </c>
      <c r="AE18" s="1" t="e">
        <f t="shared" si="15"/>
        <v>#DIV/0!</v>
      </c>
      <c r="AF18" s="1" t="e">
        <f t="shared" si="16"/>
        <v>#DIV/0!</v>
      </c>
      <c r="AG18" s="1" t="e">
        <f t="shared" si="17"/>
        <v>#DIV/0!</v>
      </c>
      <c r="AK18" s="32" t="e">
        <f t="shared" si="18"/>
        <v>#DIV/0!</v>
      </c>
      <c r="AL18" s="18" t="e">
        <f t="shared" si="19"/>
        <v>#DIV/0!</v>
      </c>
      <c r="AM18" s="31" t="e">
        <f t="shared" si="20"/>
        <v>#DIV/0!</v>
      </c>
      <c r="AN18" s="31" t="e">
        <f t="shared" si="21"/>
        <v>#DIV/0!</v>
      </c>
      <c r="AO18" s="1" t="e">
        <f t="shared" si="22"/>
        <v>#DIV/0!</v>
      </c>
    </row>
    <row r="19" spans="1:41" ht="29.25" customHeight="1" x14ac:dyDescent="0.2">
      <c r="A19" s="28">
        <f>'FORM SKP'!A22:C22</f>
        <v>11</v>
      </c>
      <c r="B19" s="171">
        <f>'FORM SKP'!B22:C22</f>
        <v>0</v>
      </c>
      <c r="C19" s="190">
        <v>0</v>
      </c>
      <c r="D19" s="174">
        <f>'FORM SKP'!F22</f>
        <v>0</v>
      </c>
      <c r="E19" s="125">
        <f>'FORM SKP'!G22</f>
        <v>0</v>
      </c>
      <c r="F19" s="125">
        <f>'FORM SKP'!H22</f>
        <v>0</v>
      </c>
      <c r="G19" s="125">
        <f>'FORM SKP'!I22</f>
        <v>0</v>
      </c>
      <c r="H19" s="126">
        <f>'FORM SKP'!J22</f>
        <v>0</v>
      </c>
      <c r="I19" s="41"/>
      <c r="J19" s="34">
        <v>0</v>
      </c>
      <c r="K19" s="170"/>
      <c r="L19" s="35">
        <f t="shared" si="0"/>
        <v>0</v>
      </c>
      <c r="M19" s="189"/>
      <c r="N19" s="175">
        <f t="shared" si="1"/>
        <v>0</v>
      </c>
      <c r="O19" s="36">
        <f t="shared" si="2"/>
        <v>0</v>
      </c>
      <c r="P19" s="72"/>
      <c r="Q19" s="29" t="e">
        <f t="shared" si="3"/>
        <v>#DIV/0!</v>
      </c>
      <c r="R19" s="37" t="e">
        <f t="shared" si="4"/>
        <v>#DIV/0!</v>
      </c>
      <c r="T19" s="1">
        <f t="shared" si="5"/>
        <v>0</v>
      </c>
      <c r="U19" s="1">
        <f t="shared" si="6"/>
        <v>0</v>
      </c>
      <c r="W19" s="1" t="e">
        <f t="shared" si="7"/>
        <v>#DIV/0!</v>
      </c>
      <c r="X19" s="30" t="e">
        <f t="shared" si="8"/>
        <v>#DIV/0!</v>
      </c>
      <c r="Y19" s="1" t="e">
        <f t="shared" si="9"/>
        <v>#DIV/0!</v>
      </c>
      <c r="Z19" s="1" t="e">
        <f t="shared" si="10"/>
        <v>#DIV/0!</v>
      </c>
      <c r="AA19" s="31" t="e">
        <f t="shared" si="11"/>
        <v>#DIV/0!</v>
      </c>
      <c r="AB19" s="31" t="e">
        <f t="shared" si="12"/>
        <v>#DIV/0!</v>
      </c>
      <c r="AC19" s="1" t="e">
        <f t="shared" si="13"/>
        <v>#DIV/0!</v>
      </c>
      <c r="AD19" s="1" t="e">
        <f t="shared" si="14"/>
        <v>#DIV/0!</v>
      </c>
      <c r="AE19" s="1" t="e">
        <f t="shared" si="15"/>
        <v>#DIV/0!</v>
      </c>
      <c r="AF19" s="1" t="e">
        <f t="shared" si="16"/>
        <v>#DIV/0!</v>
      </c>
      <c r="AG19" s="1" t="e">
        <f t="shared" si="17"/>
        <v>#DIV/0!</v>
      </c>
      <c r="AK19" s="32" t="e">
        <f t="shared" si="18"/>
        <v>#DIV/0!</v>
      </c>
      <c r="AL19" s="18" t="e">
        <f t="shared" si="19"/>
        <v>#DIV/0!</v>
      </c>
      <c r="AM19" s="31" t="e">
        <f t="shared" si="20"/>
        <v>#DIV/0!</v>
      </c>
      <c r="AN19" s="31" t="e">
        <f t="shared" si="21"/>
        <v>#DIV/0!</v>
      </c>
      <c r="AO19" s="1" t="e">
        <f t="shared" si="22"/>
        <v>#DIV/0!</v>
      </c>
    </row>
    <row r="20" spans="1:41" ht="29.25" customHeight="1" x14ac:dyDescent="0.2">
      <c r="A20" s="28">
        <f>'FORM SKP'!A23:C23</f>
        <v>12</v>
      </c>
      <c r="B20" s="171">
        <f>'FORM SKP'!B23:C23</f>
        <v>0</v>
      </c>
      <c r="C20" s="190">
        <v>0</v>
      </c>
      <c r="D20" s="174">
        <f>'FORM SKP'!F23</f>
        <v>0</v>
      </c>
      <c r="E20" s="125">
        <f>'FORM SKP'!G23</f>
        <v>0</v>
      </c>
      <c r="F20" s="125">
        <f>'FORM SKP'!H23</f>
        <v>0</v>
      </c>
      <c r="G20" s="125">
        <f>'FORM SKP'!I23</f>
        <v>0</v>
      </c>
      <c r="H20" s="126">
        <f>'FORM SKP'!J23</f>
        <v>0</v>
      </c>
      <c r="I20" s="41"/>
      <c r="J20" s="34">
        <v>0</v>
      </c>
      <c r="K20" s="170"/>
      <c r="L20" s="35">
        <f t="shared" si="0"/>
        <v>0</v>
      </c>
      <c r="M20" s="189"/>
      <c r="N20" s="175">
        <f t="shared" si="1"/>
        <v>0</v>
      </c>
      <c r="O20" s="36">
        <f t="shared" si="2"/>
        <v>0</v>
      </c>
      <c r="P20" s="72"/>
      <c r="Q20" s="29" t="e">
        <f t="shared" si="3"/>
        <v>#DIV/0!</v>
      </c>
      <c r="R20" s="37" t="e">
        <f t="shared" si="4"/>
        <v>#DIV/0!</v>
      </c>
      <c r="T20" s="1">
        <f t="shared" si="5"/>
        <v>0</v>
      </c>
      <c r="U20" s="1">
        <f t="shared" si="6"/>
        <v>0</v>
      </c>
      <c r="W20" s="1" t="e">
        <f t="shared" si="7"/>
        <v>#DIV/0!</v>
      </c>
      <c r="X20" s="30" t="e">
        <f t="shared" si="8"/>
        <v>#DIV/0!</v>
      </c>
      <c r="Y20" s="1" t="e">
        <f t="shared" si="9"/>
        <v>#DIV/0!</v>
      </c>
      <c r="Z20" s="1" t="e">
        <f t="shared" si="10"/>
        <v>#DIV/0!</v>
      </c>
      <c r="AA20" s="31" t="e">
        <f t="shared" si="11"/>
        <v>#DIV/0!</v>
      </c>
      <c r="AB20" s="31" t="e">
        <f t="shared" si="12"/>
        <v>#DIV/0!</v>
      </c>
      <c r="AC20" s="1" t="e">
        <f t="shared" si="13"/>
        <v>#DIV/0!</v>
      </c>
      <c r="AD20" s="1" t="e">
        <f t="shared" si="14"/>
        <v>#DIV/0!</v>
      </c>
      <c r="AE20" s="1" t="e">
        <f t="shared" si="15"/>
        <v>#DIV/0!</v>
      </c>
      <c r="AF20" s="1" t="e">
        <f t="shared" si="16"/>
        <v>#DIV/0!</v>
      </c>
      <c r="AG20" s="1" t="e">
        <f t="shared" si="17"/>
        <v>#DIV/0!</v>
      </c>
      <c r="AK20" s="32" t="e">
        <f t="shared" si="18"/>
        <v>#DIV/0!</v>
      </c>
      <c r="AL20" s="18" t="e">
        <f t="shared" si="19"/>
        <v>#DIV/0!</v>
      </c>
      <c r="AM20" s="31" t="e">
        <f t="shared" si="20"/>
        <v>#DIV/0!</v>
      </c>
      <c r="AN20" s="31" t="e">
        <f t="shared" si="21"/>
        <v>#DIV/0!</v>
      </c>
      <c r="AO20" s="1" t="e">
        <f t="shared" si="22"/>
        <v>#DIV/0!</v>
      </c>
    </row>
    <row r="21" spans="1:41" ht="29.25" customHeight="1" x14ac:dyDescent="0.2">
      <c r="A21" s="28">
        <f>'FORM SKP'!A24:C24</f>
        <v>13</v>
      </c>
      <c r="B21" s="171">
        <f>'FORM SKP'!B24:C24</f>
        <v>0</v>
      </c>
      <c r="C21" s="190">
        <v>0</v>
      </c>
      <c r="D21" s="174">
        <f>'FORM SKP'!F24</f>
        <v>0</v>
      </c>
      <c r="E21" s="125">
        <f>'FORM SKP'!G24</f>
        <v>0</v>
      </c>
      <c r="F21" s="125">
        <f>'FORM SKP'!H24</f>
        <v>0</v>
      </c>
      <c r="G21" s="125">
        <f>'FORM SKP'!I24</f>
        <v>0</v>
      </c>
      <c r="H21" s="126">
        <f>'FORM SKP'!J24</f>
        <v>0</v>
      </c>
      <c r="I21" s="41"/>
      <c r="J21" s="34">
        <v>0</v>
      </c>
      <c r="K21" s="170"/>
      <c r="L21" s="35">
        <f t="shared" si="0"/>
        <v>0</v>
      </c>
      <c r="M21" s="189"/>
      <c r="N21" s="175">
        <f t="shared" si="1"/>
        <v>0</v>
      </c>
      <c r="O21" s="36">
        <f t="shared" si="2"/>
        <v>0</v>
      </c>
      <c r="P21" s="72"/>
      <c r="Q21" s="29" t="e">
        <f t="shared" si="3"/>
        <v>#DIV/0!</v>
      </c>
      <c r="R21" s="37" t="e">
        <f t="shared" si="4"/>
        <v>#DIV/0!</v>
      </c>
      <c r="T21" s="1">
        <f t="shared" si="5"/>
        <v>0</v>
      </c>
      <c r="U21" s="1">
        <f t="shared" si="6"/>
        <v>0</v>
      </c>
      <c r="W21" s="1" t="e">
        <f t="shared" si="7"/>
        <v>#DIV/0!</v>
      </c>
      <c r="X21" s="30" t="e">
        <f t="shared" si="8"/>
        <v>#DIV/0!</v>
      </c>
      <c r="Y21" s="1" t="e">
        <f t="shared" si="9"/>
        <v>#DIV/0!</v>
      </c>
      <c r="Z21" s="1" t="e">
        <f t="shared" si="10"/>
        <v>#DIV/0!</v>
      </c>
      <c r="AA21" s="31" t="e">
        <f t="shared" si="11"/>
        <v>#DIV/0!</v>
      </c>
      <c r="AB21" s="31" t="e">
        <f t="shared" si="12"/>
        <v>#DIV/0!</v>
      </c>
      <c r="AC21" s="1" t="e">
        <f t="shared" si="13"/>
        <v>#DIV/0!</v>
      </c>
      <c r="AD21" s="1" t="e">
        <f t="shared" si="14"/>
        <v>#DIV/0!</v>
      </c>
      <c r="AE21" s="1" t="e">
        <f t="shared" si="15"/>
        <v>#DIV/0!</v>
      </c>
      <c r="AF21" s="1" t="e">
        <f t="shared" si="16"/>
        <v>#DIV/0!</v>
      </c>
      <c r="AG21" s="1" t="e">
        <f t="shared" si="17"/>
        <v>#DIV/0!</v>
      </c>
      <c r="AK21" s="32" t="e">
        <f t="shared" si="18"/>
        <v>#DIV/0!</v>
      </c>
      <c r="AL21" s="18" t="e">
        <f t="shared" si="19"/>
        <v>#DIV/0!</v>
      </c>
      <c r="AM21" s="31" t="e">
        <f t="shared" si="20"/>
        <v>#DIV/0!</v>
      </c>
      <c r="AN21" s="31" t="e">
        <f t="shared" si="21"/>
        <v>#DIV/0!</v>
      </c>
      <c r="AO21" s="1" t="e">
        <f t="shared" si="22"/>
        <v>#DIV/0!</v>
      </c>
    </row>
    <row r="22" spans="1:41" ht="26.25" customHeight="1" x14ac:dyDescent="0.2">
      <c r="A22" s="132"/>
      <c r="B22" s="254" t="s">
        <v>40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6"/>
    </row>
    <row r="23" spans="1:41" ht="21.75" customHeight="1" x14ac:dyDescent="0.2">
      <c r="A23" s="132">
        <v>1</v>
      </c>
      <c r="B23" s="33"/>
      <c r="C23" s="33"/>
      <c r="D23" s="239"/>
      <c r="E23" s="239"/>
      <c r="F23" s="239"/>
      <c r="G23" s="239"/>
      <c r="H23" s="239"/>
      <c r="I23" s="239"/>
      <c r="J23" s="38"/>
      <c r="K23" s="257"/>
      <c r="L23" s="257"/>
      <c r="M23" s="257"/>
      <c r="N23" s="257"/>
      <c r="O23" s="257"/>
      <c r="P23" s="257"/>
      <c r="Q23" s="132"/>
      <c r="R23" s="5"/>
      <c r="Z23" s="1" t="s">
        <v>35</v>
      </c>
      <c r="AJ23" s="1" t="s">
        <v>32</v>
      </c>
      <c r="AL23" s="31"/>
    </row>
    <row r="24" spans="1:41" ht="24.75" customHeight="1" x14ac:dyDescent="0.2">
      <c r="A24" s="132">
        <v>2</v>
      </c>
      <c r="B24" s="33"/>
      <c r="C24" s="33"/>
      <c r="D24" s="261"/>
      <c r="E24" s="262"/>
      <c r="F24" s="262"/>
      <c r="G24" s="262"/>
      <c r="H24" s="262"/>
      <c r="I24" s="263"/>
      <c r="J24" s="38"/>
      <c r="K24" s="258"/>
      <c r="L24" s="259"/>
      <c r="M24" s="259"/>
      <c r="N24" s="259"/>
      <c r="O24" s="259"/>
      <c r="P24" s="260"/>
      <c r="Q24" s="132"/>
      <c r="R24" s="7"/>
      <c r="AL24" s="31"/>
    </row>
    <row r="25" spans="1:41" ht="13.5" customHeight="1" x14ac:dyDescent="0.2">
      <c r="A25" s="264" t="s">
        <v>18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124" t="e">
        <f>(SUM(U9:U21)/T25)+R23+R24</f>
        <v>#DIV/0!</v>
      </c>
      <c r="T25" s="1">
        <f>SUM(T9:T23)</f>
        <v>0</v>
      </c>
    </row>
    <row r="26" spans="1:41" ht="13.5" customHeight="1" x14ac:dyDescent="0.2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39" t="e">
        <f>IF(R25&lt;=50,"(Buruk)",IF(R25&lt;=60,"(Sedang)",IF(R25&lt;=75,"(Cukup)",IF(R25&lt;=90.99,"(Baik)","(Sangat Baik)"))))</f>
        <v>#DIV/0!</v>
      </c>
    </row>
    <row r="27" spans="1:41" ht="18.75" customHeight="1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</row>
    <row r="28" spans="1:41" x14ac:dyDescent="0.2">
      <c r="M28" s="252" t="s">
        <v>182</v>
      </c>
      <c r="N28" s="252"/>
      <c r="O28" s="252"/>
      <c r="P28" s="252"/>
      <c r="Q28" s="252"/>
      <c r="R28" s="252"/>
    </row>
    <row r="29" spans="1:41" x14ac:dyDescent="0.2">
      <c r="M29" s="252" t="s">
        <v>26</v>
      </c>
      <c r="N29" s="252"/>
      <c r="O29" s="252"/>
      <c r="P29" s="252"/>
      <c r="Q29" s="252"/>
      <c r="R29" s="252"/>
    </row>
    <row r="30" spans="1:41" ht="23.25" customHeight="1" x14ac:dyDescent="0.2">
      <c r="T30" s="1" t="e">
        <f>#REF!/3</f>
        <v>#REF!</v>
      </c>
    </row>
    <row r="31" spans="1:41" ht="23.25" customHeight="1" x14ac:dyDescent="0.2"/>
    <row r="32" spans="1:41" x14ac:dyDescent="0.2">
      <c r="M32" s="251" t="str">
        <f>'FORM SKP'!A29</f>
        <v>Dr. Eng. Muh. Anis Mustaghfirin, ST., MT.</v>
      </c>
      <c r="N32" s="251"/>
      <c r="O32" s="251"/>
      <c r="P32" s="251"/>
      <c r="Q32" s="251"/>
      <c r="R32" s="251"/>
    </row>
    <row r="33" spans="13:18" x14ac:dyDescent="0.2">
      <c r="M33" s="252" t="str">
        <f>'FORM SKP'!A30</f>
        <v>197208051997021001</v>
      </c>
      <c r="N33" s="252"/>
      <c r="O33" s="252"/>
      <c r="P33" s="252"/>
      <c r="Q33" s="252"/>
      <c r="R33" s="252"/>
    </row>
  </sheetData>
  <sheetProtection algorithmName="SHA-512" hashValue="Y+PbmnDsgdF2zM6Va9m8OGjs3KAL1m/ZhMURjXhX9xDuJiLgNDR2RxdbXPrrC7QEfqveHOhMWhbnpGEatD+CcA==" saltValue="LxElGl4ITl8QW+yg2OqrZA==" spinCount="100000" sheet="1" objects="1" scenarios="1"/>
  <protectedRanges>
    <protectedRange sqref="K9:K21" name="Range1"/>
    <protectedRange sqref="M9:M21" name="Range2"/>
  </protectedRanges>
  <mergeCells count="29">
    <mergeCell ref="A1:R1"/>
    <mergeCell ref="A2:R2"/>
    <mergeCell ref="A3:Q3"/>
    <mergeCell ref="R6:R7"/>
    <mergeCell ref="B6:B7"/>
    <mergeCell ref="C6:C7"/>
    <mergeCell ref="K6:P6"/>
    <mergeCell ref="Q6:Q7"/>
    <mergeCell ref="D6:I6"/>
    <mergeCell ref="N7:O7"/>
    <mergeCell ref="D7:E7"/>
    <mergeCell ref="A6:A7"/>
    <mergeCell ref="K7:L7"/>
    <mergeCell ref="J6:J7"/>
    <mergeCell ref="G7:H7"/>
    <mergeCell ref="M32:R32"/>
    <mergeCell ref="M33:R33"/>
    <mergeCell ref="M29:R29"/>
    <mergeCell ref="M28:R28"/>
    <mergeCell ref="K8:L8"/>
    <mergeCell ref="B22:R22"/>
    <mergeCell ref="K23:P23"/>
    <mergeCell ref="D8:E8"/>
    <mergeCell ref="D23:I23"/>
    <mergeCell ref="K24:P24"/>
    <mergeCell ref="D24:I24"/>
    <mergeCell ref="A25:Q26"/>
    <mergeCell ref="N8:O8"/>
    <mergeCell ref="G8:H8"/>
  </mergeCells>
  <phoneticPr fontId="2" type="noConversion"/>
  <printOptions horizontalCentered="1"/>
  <pageMargins left="0.25" right="0.25" top="0.25" bottom="0" header="0.25" footer="0.25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J35"/>
  <sheetViews>
    <sheetView zoomScale="90" zoomScaleNormal="90" workbookViewId="0">
      <selection activeCell="N13" sqref="N13"/>
    </sheetView>
  </sheetViews>
  <sheetFormatPr defaultRowHeight="12.75" x14ac:dyDescent="0.2"/>
  <cols>
    <col min="1" max="1" width="5.28515625" style="1" customWidth="1"/>
    <col min="2" max="2" width="3.42578125" style="1" customWidth="1"/>
    <col min="3" max="3" width="1.7109375" style="1" customWidth="1"/>
    <col min="4" max="4" width="9.28515625" style="1" customWidth="1"/>
    <col min="5" max="5" width="9.7109375" style="1" customWidth="1"/>
    <col min="6" max="6" width="13.28515625" style="1" customWidth="1"/>
    <col min="7" max="7" width="6.28515625" style="1" customWidth="1"/>
    <col min="8" max="8" width="7.7109375" style="1" customWidth="1"/>
    <col min="9" max="9" width="11.5703125" style="1" customWidth="1"/>
    <col min="10" max="10" width="26.7109375" style="1" customWidth="1"/>
    <col min="11" max="16384" width="9.140625" style="1"/>
  </cols>
  <sheetData>
    <row r="1" spans="1:10" ht="21.75" customHeight="1" x14ac:dyDescent="0.2">
      <c r="A1" s="265" t="s">
        <v>41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3.5" customHeight="1" x14ac:dyDescent="0.2"/>
    <row r="3" spans="1:10" ht="15" customHeight="1" x14ac:dyDescent="0.2">
      <c r="A3" s="1" t="s">
        <v>4</v>
      </c>
      <c r="C3" s="1" t="s">
        <v>72</v>
      </c>
      <c r="D3" s="1" t="str">
        <f>'FORM SKP'!H5</f>
        <v>Mursiatin, S.Sos.</v>
      </c>
    </row>
    <row r="4" spans="1:10" ht="15" customHeight="1" x14ac:dyDescent="0.2">
      <c r="A4" s="1" t="s">
        <v>5</v>
      </c>
      <c r="C4" s="1" t="s">
        <v>72</v>
      </c>
      <c r="D4" s="1" t="str">
        <f>'FORM SKP'!H6</f>
        <v>196709261989022001</v>
      </c>
    </row>
    <row r="5" spans="1:10" ht="13.5" customHeight="1" x14ac:dyDescent="0.2"/>
    <row r="6" spans="1:10" ht="35.25" customHeight="1" x14ac:dyDescent="0.2">
      <c r="A6" s="2" t="s">
        <v>42</v>
      </c>
      <c r="B6" s="268" t="s">
        <v>43</v>
      </c>
      <c r="C6" s="268"/>
      <c r="D6" s="268"/>
      <c r="E6" s="268" t="s">
        <v>44</v>
      </c>
      <c r="F6" s="268"/>
      <c r="G6" s="268"/>
      <c r="H6" s="268"/>
      <c r="I6" s="268"/>
      <c r="J6" s="3" t="s">
        <v>56</v>
      </c>
    </row>
    <row r="7" spans="1:10" x14ac:dyDescent="0.2">
      <c r="A7" s="4">
        <v>1</v>
      </c>
      <c r="B7" s="268">
        <v>2</v>
      </c>
      <c r="C7" s="268"/>
      <c r="D7" s="268"/>
      <c r="E7" s="268">
        <v>3</v>
      </c>
      <c r="F7" s="268"/>
      <c r="G7" s="268"/>
      <c r="H7" s="268"/>
      <c r="I7" s="268"/>
      <c r="J7" s="4">
        <v>4</v>
      </c>
    </row>
    <row r="8" spans="1:10" ht="21" customHeight="1" x14ac:dyDescent="0.2">
      <c r="A8" s="5"/>
      <c r="B8" s="8"/>
      <c r="C8" s="14"/>
      <c r="D8" s="14"/>
      <c r="E8" s="8"/>
      <c r="F8" s="14"/>
      <c r="G8" s="14"/>
      <c r="H8" s="14"/>
      <c r="I8" s="9"/>
      <c r="J8" s="5"/>
    </row>
    <row r="9" spans="1:10" ht="21" customHeight="1" x14ac:dyDescent="0.2">
      <c r="A9" s="73">
        <v>1</v>
      </c>
      <c r="B9" s="269" t="str">
        <f>PENGUKURAN!A5</f>
        <v>1 Januari s.d. 30 Juni 2020</v>
      </c>
      <c r="C9" s="272"/>
      <c r="D9" s="273"/>
      <c r="E9" s="204" t="s">
        <v>183</v>
      </c>
      <c r="F9" s="15"/>
      <c r="G9" s="15"/>
      <c r="H9" s="15"/>
      <c r="I9" s="11"/>
      <c r="J9" s="6"/>
    </row>
    <row r="10" spans="1:10" ht="21" customHeight="1" x14ac:dyDescent="0.2">
      <c r="A10" s="6"/>
      <c r="B10" s="269"/>
      <c r="C10" s="272"/>
      <c r="D10" s="273"/>
      <c r="E10" s="148" t="e">
        <f>PENGUKURAN!$R$25</f>
        <v>#DIV/0!</v>
      </c>
      <c r="F10" s="15" t="s">
        <v>45</v>
      </c>
      <c r="G10" s="15"/>
      <c r="H10" s="15"/>
      <c r="I10" s="11"/>
      <c r="J10" s="6"/>
    </row>
    <row r="11" spans="1:10" ht="21" customHeight="1" x14ac:dyDescent="0.2">
      <c r="A11" s="6"/>
      <c r="B11" s="269"/>
      <c r="C11" s="270"/>
      <c r="D11" s="271"/>
      <c r="E11" s="128" t="s">
        <v>46</v>
      </c>
      <c r="F11" s="15"/>
      <c r="G11" s="15"/>
      <c r="H11" s="15"/>
      <c r="I11" s="11"/>
      <c r="J11" s="6"/>
    </row>
    <row r="12" spans="1:10" ht="21" customHeight="1" x14ac:dyDescent="0.2">
      <c r="A12" s="6"/>
      <c r="B12" s="10"/>
      <c r="C12" s="15"/>
      <c r="D12" s="15"/>
      <c r="E12" s="128" t="s">
        <v>47</v>
      </c>
      <c r="F12" s="15"/>
      <c r="G12" s="149" t="s">
        <v>53</v>
      </c>
      <c r="H12" s="177"/>
      <c r="I12" s="40" t="str">
        <f t="shared" ref="I12:I16" si="0">IF(H12&lt;=50,"(Buruk)",IF(H12&lt;=60,"(Kurang)",IF(H12&lt;=75,"(Cukup)",IF(H12&lt;=90.99,"(Baik)","(Sangat Baik)"))))</f>
        <v>(Buruk)</v>
      </c>
      <c r="J12" s="267" t="str">
        <f>'FORM SKP'!C8</f>
        <v>Wakil Direktur I</v>
      </c>
    </row>
    <row r="13" spans="1:10" ht="21" customHeight="1" x14ac:dyDescent="0.2">
      <c r="A13" s="6"/>
      <c r="B13" s="10"/>
      <c r="C13" s="15"/>
      <c r="D13" s="15"/>
      <c r="E13" s="128" t="s">
        <v>48</v>
      </c>
      <c r="F13" s="15"/>
      <c r="G13" s="149" t="s">
        <v>53</v>
      </c>
      <c r="H13" s="177"/>
      <c r="I13" s="40" t="str">
        <f t="shared" si="0"/>
        <v>(Buruk)</v>
      </c>
      <c r="J13" s="267"/>
    </row>
    <row r="14" spans="1:10" ht="21" customHeight="1" x14ac:dyDescent="0.2">
      <c r="A14" s="6"/>
      <c r="B14" s="10"/>
      <c r="C14" s="15"/>
      <c r="D14" s="15"/>
      <c r="E14" s="128" t="s">
        <v>49</v>
      </c>
      <c r="F14" s="15"/>
      <c r="G14" s="149" t="s">
        <v>53</v>
      </c>
      <c r="H14" s="177"/>
      <c r="I14" s="40" t="str">
        <f t="shared" si="0"/>
        <v>(Buruk)</v>
      </c>
      <c r="J14" s="17"/>
    </row>
    <row r="15" spans="1:10" ht="21" customHeight="1" x14ac:dyDescent="0.2">
      <c r="A15" s="6"/>
      <c r="B15" s="10"/>
      <c r="C15" s="15"/>
      <c r="D15" s="15"/>
      <c r="E15" s="128" t="s">
        <v>50</v>
      </c>
      <c r="F15" s="15"/>
      <c r="G15" s="149" t="s">
        <v>53</v>
      </c>
      <c r="H15" s="177"/>
      <c r="I15" s="40" t="str">
        <f t="shared" si="0"/>
        <v>(Buruk)</v>
      </c>
      <c r="J15" s="17"/>
    </row>
    <row r="16" spans="1:10" ht="21" customHeight="1" x14ac:dyDescent="0.2">
      <c r="A16" s="6"/>
      <c r="B16" s="10"/>
      <c r="C16" s="15"/>
      <c r="D16" s="15"/>
      <c r="E16" s="128" t="s">
        <v>51</v>
      </c>
      <c r="F16" s="15"/>
      <c r="G16" s="149" t="s">
        <v>53</v>
      </c>
      <c r="H16" s="177"/>
      <c r="I16" s="40" t="str">
        <f t="shared" si="0"/>
        <v>(Buruk)</v>
      </c>
      <c r="J16" s="91" t="str">
        <f>'FORM SKP'!C5</f>
        <v>Dr. Eng. Muh. Anis Mustaghfirin, ST., MT.</v>
      </c>
    </row>
    <row r="17" spans="1:10" ht="21" customHeight="1" x14ac:dyDescent="0.2">
      <c r="A17" s="6"/>
      <c r="B17" s="10"/>
      <c r="C17" s="15"/>
      <c r="D17" s="15"/>
      <c r="E17" s="129" t="s">
        <v>52</v>
      </c>
      <c r="F17" s="16"/>
      <c r="G17" s="150" t="s">
        <v>53</v>
      </c>
      <c r="H17" s="177"/>
      <c r="I17" s="40" t="str">
        <f t="shared" ref="I17" si="1">IF(H17&lt;=50,"(Buruk)",IF(H17&lt;=60,"(Kurang)",IF(H17&lt;=75,"(Cukup)",IF(H17&lt;=90.99,"(Baik)","(Sangat Baik)"))))</f>
        <v>(Buruk)</v>
      </c>
      <c r="J17" s="73" t="str">
        <f>'FORM SKP'!C6</f>
        <v>197208051997021001</v>
      </c>
    </row>
    <row r="18" spans="1:10" ht="21" customHeight="1" x14ac:dyDescent="0.2">
      <c r="A18" s="6"/>
      <c r="B18" s="10"/>
      <c r="C18" s="15"/>
      <c r="D18" s="11"/>
      <c r="E18" s="127" t="s">
        <v>54</v>
      </c>
      <c r="F18" s="14"/>
      <c r="G18" s="151" t="s">
        <v>53</v>
      </c>
      <c r="H18" s="203">
        <f>SUM(H12:H17)</f>
        <v>0</v>
      </c>
      <c r="I18" s="14"/>
      <c r="J18" s="6"/>
    </row>
    <row r="19" spans="1:10" ht="21" customHeight="1" x14ac:dyDescent="0.2">
      <c r="A19" s="6"/>
      <c r="B19" s="10"/>
      <c r="C19" s="15"/>
      <c r="D19" s="11"/>
      <c r="E19" s="128" t="s">
        <v>55</v>
      </c>
      <c r="F19" s="15"/>
      <c r="G19" s="149" t="s">
        <v>53</v>
      </c>
      <c r="H19" s="68" t="e">
        <f>AVERAGE(H12:H17)</f>
        <v>#DIV/0!</v>
      </c>
      <c r="I19" s="40" t="e">
        <f>IF(H19&lt;=50,"(Buruk)",IF(H19&lt;=60,"(Kurang)",IF(H19&lt;=75,"(Cukup)",IF(H19&lt;=90.99,"(Baik)","(Sangat Baik)"))))</f>
        <v>#DIV/0!</v>
      </c>
      <c r="J19" s="6"/>
    </row>
    <row r="20" spans="1:10" ht="21" customHeight="1" x14ac:dyDescent="0.2">
      <c r="A20" s="7"/>
      <c r="B20" s="12"/>
      <c r="C20" s="16"/>
      <c r="D20" s="13"/>
      <c r="E20" s="12"/>
      <c r="F20" s="16"/>
      <c r="G20" s="16"/>
      <c r="H20" s="173"/>
      <c r="I20" s="13"/>
      <c r="J20" s="7"/>
    </row>
    <row r="25" spans="1:10" x14ac:dyDescent="0.2">
      <c r="J25" s="31"/>
    </row>
    <row r="28" spans="1:10" x14ac:dyDescent="0.2">
      <c r="J28" s="42"/>
    </row>
    <row r="35" spans="9:9" x14ac:dyDescent="0.2">
      <c r="I35" s="19"/>
    </row>
  </sheetData>
  <sheetProtection algorithmName="SHA-512" hashValue="FdqzzStYHMWnZGTk/dpoA9Ei0WLPo6iZuIhI3Uc3pjrkRQJgyVZhur0BB8sd0jXZqUgOerdTUcyXws48qSRhcA==" saltValue="1EBNLvM4k2LXEWGCrIFDGA==" spinCount="100000" sheet="1" objects="1" scenarios="1"/>
  <protectedRanges>
    <protectedRange sqref="H12:H17" name="Range1"/>
  </protectedRanges>
  <mergeCells count="8">
    <mergeCell ref="A1:J1"/>
    <mergeCell ref="J12:J13"/>
    <mergeCell ref="B6:D6"/>
    <mergeCell ref="B7:D7"/>
    <mergeCell ref="E6:I6"/>
    <mergeCell ref="E7:I7"/>
    <mergeCell ref="B11:D11"/>
    <mergeCell ref="B9:D10"/>
  </mergeCells>
  <printOptions horizontalCentered="1"/>
  <pageMargins left="0.25" right="0.25" top="0.7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-0.249977111117893"/>
  </sheetPr>
  <dimension ref="A2:J113"/>
  <sheetViews>
    <sheetView zoomScale="90" zoomScaleNormal="90" workbookViewId="0">
      <selection activeCell="H106" sqref="H106:J106"/>
    </sheetView>
  </sheetViews>
  <sheetFormatPr defaultRowHeight="15.75" x14ac:dyDescent="0.2"/>
  <cols>
    <col min="1" max="2" width="4.85546875" style="20" customWidth="1"/>
    <col min="3" max="3" width="7.140625" style="20" customWidth="1"/>
    <col min="4" max="4" width="4.42578125" style="20" customWidth="1"/>
    <col min="5" max="5" width="4.7109375" style="20" customWidth="1"/>
    <col min="6" max="6" width="17" style="20" customWidth="1"/>
    <col min="7" max="7" width="15.7109375" style="20" customWidth="1"/>
    <col min="8" max="8" width="10.5703125" style="20" customWidth="1"/>
    <col min="9" max="9" width="13.28515625" style="20" customWidth="1"/>
    <col min="10" max="10" width="15" style="20" customWidth="1"/>
    <col min="11" max="16384" width="9.140625" style="20"/>
  </cols>
  <sheetData>
    <row r="2" spans="1:10" x14ac:dyDescent="0.2">
      <c r="H2" s="24"/>
    </row>
    <row r="4" spans="1:10" x14ac:dyDescent="0.2">
      <c r="J4" s="24"/>
    </row>
    <row r="5" spans="1:10" x14ac:dyDescent="0.2">
      <c r="J5" s="24"/>
    </row>
    <row r="6" spans="1:10" x14ac:dyDescent="0.2">
      <c r="J6" s="24"/>
    </row>
    <row r="7" spans="1:10" x14ac:dyDescent="0.2">
      <c r="A7" s="265" t="s">
        <v>57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 x14ac:dyDescent="0.2">
      <c r="A8" s="265" t="s">
        <v>58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x14ac:dyDescent="0.2">
      <c r="J9" s="24"/>
    </row>
    <row r="10" spans="1:10" x14ac:dyDescent="0.2">
      <c r="A10" s="43"/>
      <c r="B10" s="43"/>
      <c r="C10" s="43"/>
      <c r="D10" s="43"/>
      <c r="E10" s="43"/>
      <c r="F10" s="43"/>
      <c r="G10" s="43"/>
      <c r="I10" s="43" t="s">
        <v>59</v>
      </c>
      <c r="J10" s="43"/>
    </row>
    <row r="11" spans="1:10" ht="15.75" customHeight="1" x14ac:dyDescent="0.2">
      <c r="A11" s="43" t="str">
        <f>COVER!$A$38</f>
        <v>KEMENTERIAN PENDIDIKAN DAN KEBUDAYAAN</v>
      </c>
      <c r="B11" s="43"/>
      <c r="C11" s="43"/>
      <c r="D11" s="43"/>
      <c r="E11" s="43"/>
      <c r="F11" s="43"/>
      <c r="G11" s="43"/>
      <c r="I11" s="60" t="str">
        <f>COVER!$A$16</f>
        <v>Januari s.d. Juni 2020</v>
      </c>
      <c r="J11" s="136"/>
    </row>
    <row r="12" spans="1:10" ht="9" customHeight="1" x14ac:dyDescent="0.2">
      <c r="A12" s="43"/>
      <c r="B12" s="43"/>
      <c r="C12" s="43"/>
      <c r="D12" s="43"/>
      <c r="E12" s="43"/>
      <c r="F12" s="43"/>
      <c r="G12" s="43"/>
      <c r="H12" s="100"/>
      <c r="I12" s="100"/>
      <c r="J12" s="100"/>
    </row>
    <row r="13" spans="1:10" ht="20.100000000000001" customHeight="1" x14ac:dyDescent="0.2">
      <c r="A13" s="44" t="s">
        <v>75</v>
      </c>
      <c r="B13" s="277" t="s">
        <v>60</v>
      </c>
      <c r="C13" s="278"/>
      <c r="D13" s="278"/>
      <c r="E13" s="278"/>
      <c r="F13" s="278"/>
      <c r="G13" s="278"/>
      <c r="H13" s="278"/>
      <c r="I13" s="278"/>
      <c r="J13" s="279"/>
    </row>
    <row r="14" spans="1:10" ht="20.100000000000001" customHeight="1" x14ac:dyDescent="0.2">
      <c r="A14" s="45"/>
      <c r="B14" s="137" t="s">
        <v>62</v>
      </c>
      <c r="C14" s="288" t="s">
        <v>61</v>
      </c>
      <c r="D14" s="288"/>
      <c r="E14" s="288"/>
      <c r="F14" s="288"/>
      <c r="G14" s="274" t="str">
        <f>'FORM SKP'!H5</f>
        <v>Mursiatin, S.Sos.</v>
      </c>
      <c r="H14" s="275"/>
      <c r="I14" s="275"/>
      <c r="J14" s="276"/>
    </row>
    <row r="15" spans="1:10" ht="20.100000000000001" customHeight="1" x14ac:dyDescent="0.2">
      <c r="A15" s="45"/>
      <c r="B15" s="138" t="s">
        <v>66</v>
      </c>
      <c r="C15" s="283" t="s">
        <v>5</v>
      </c>
      <c r="D15" s="283"/>
      <c r="E15" s="283"/>
      <c r="F15" s="283"/>
      <c r="G15" s="277" t="str">
        <f>'FORM SKP'!H6</f>
        <v>196709261989022001</v>
      </c>
      <c r="H15" s="278"/>
      <c r="I15" s="278"/>
      <c r="J15" s="279"/>
    </row>
    <row r="16" spans="1:10" ht="20.100000000000001" customHeight="1" x14ac:dyDescent="0.2">
      <c r="A16" s="45"/>
      <c r="B16" s="138" t="s">
        <v>67</v>
      </c>
      <c r="C16" s="283" t="s">
        <v>63</v>
      </c>
      <c r="D16" s="283"/>
      <c r="E16" s="283"/>
      <c r="F16" s="283"/>
      <c r="G16" s="277" t="str">
        <f>'FORM SKP'!H7</f>
        <v>Penata Tingkat I / III/d</v>
      </c>
      <c r="H16" s="278"/>
      <c r="I16" s="278"/>
      <c r="J16" s="279"/>
    </row>
    <row r="17" spans="1:10" ht="20.100000000000001" customHeight="1" x14ac:dyDescent="0.2">
      <c r="A17" s="45"/>
      <c r="B17" s="138" t="s">
        <v>68</v>
      </c>
      <c r="C17" s="283" t="s">
        <v>64</v>
      </c>
      <c r="D17" s="283"/>
      <c r="E17" s="283"/>
      <c r="F17" s="283"/>
      <c r="G17" s="280" t="str">
        <f>'FORM SKP'!H8</f>
        <v>Kepala Bagian Akademik, Perencanaan dan Sistem Informasi</v>
      </c>
      <c r="H17" s="281"/>
      <c r="I17" s="281"/>
      <c r="J17" s="282"/>
    </row>
    <row r="18" spans="1:10" ht="20.100000000000001" customHeight="1" x14ac:dyDescent="0.2">
      <c r="A18" s="50"/>
      <c r="B18" s="138" t="s">
        <v>69</v>
      </c>
      <c r="C18" s="283" t="s">
        <v>65</v>
      </c>
      <c r="D18" s="283"/>
      <c r="E18" s="283"/>
      <c r="F18" s="283"/>
      <c r="G18" s="280" t="str">
        <f>'FORM SKP'!H9</f>
        <v>Politeknik Perkapalan Negeri Surabaya</v>
      </c>
      <c r="H18" s="281"/>
      <c r="I18" s="281"/>
      <c r="J18" s="282"/>
    </row>
    <row r="19" spans="1:10" ht="20.100000000000001" customHeight="1" x14ac:dyDescent="0.2">
      <c r="A19" s="44" t="s">
        <v>76</v>
      </c>
      <c r="B19" s="277" t="s">
        <v>70</v>
      </c>
      <c r="C19" s="278"/>
      <c r="D19" s="278"/>
      <c r="E19" s="278"/>
      <c r="F19" s="278"/>
      <c r="G19" s="278"/>
      <c r="H19" s="278"/>
      <c r="I19" s="278"/>
      <c r="J19" s="279"/>
    </row>
    <row r="20" spans="1:10" ht="20.100000000000001" customHeight="1" x14ac:dyDescent="0.2">
      <c r="A20" s="51"/>
      <c r="B20" s="137" t="s">
        <v>62</v>
      </c>
      <c r="C20" s="288" t="s">
        <v>61</v>
      </c>
      <c r="D20" s="288"/>
      <c r="E20" s="288"/>
      <c r="F20" s="288"/>
      <c r="G20" s="274" t="str">
        <f>'FORM SKP'!C5</f>
        <v>Dr. Eng. Muh. Anis Mustaghfirin, ST., MT.</v>
      </c>
      <c r="H20" s="275"/>
      <c r="I20" s="275"/>
      <c r="J20" s="276"/>
    </row>
    <row r="21" spans="1:10" ht="20.100000000000001" customHeight="1" x14ac:dyDescent="0.2">
      <c r="A21" s="51"/>
      <c r="B21" s="138" t="s">
        <v>66</v>
      </c>
      <c r="C21" s="283" t="s">
        <v>5</v>
      </c>
      <c r="D21" s="283"/>
      <c r="E21" s="283"/>
      <c r="F21" s="283"/>
      <c r="G21" s="277" t="str">
        <f>'DATA SKP'!$E$11</f>
        <v>197208051997021001</v>
      </c>
      <c r="H21" s="278"/>
      <c r="I21" s="278"/>
      <c r="J21" s="279"/>
    </row>
    <row r="22" spans="1:10" ht="20.100000000000001" customHeight="1" x14ac:dyDescent="0.2">
      <c r="A22" s="51"/>
      <c r="B22" s="138" t="s">
        <v>67</v>
      </c>
      <c r="C22" s="283" t="s">
        <v>63</v>
      </c>
      <c r="D22" s="283"/>
      <c r="E22" s="283"/>
      <c r="F22" s="283"/>
      <c r="G22" s="280" t="str">
        <f>'FORM SKP'!C7</f>
        <v>Penata Tingkat I / III/d</v>
      </c>
      <c r="H22" s="281"/>
      <c r="I22" s="281"/>
      <c r="J22" s="282"/>
    </row>
    <row r="23" spans="1:10" ht="20.100000000000001" customHeight="1" x14ac:dyDescent="0.2">
      <c r="A23" s="51"/>
      <c r="B23" s="138" t="s">
        <v>68</v>
      </c>
      <c r="C23" s="283" t="s">
        <v>64</v>
      </c>
      <c r="D23" s="283"/>
      <c r="E23" s="283"/>
      <c r="F23" s="283"/>
      <c r="G23" s="280" t="str">
        <f>'FORM SKP'!C8</f>
        <v>Wakil Direktur I</v>
      </c>
      <c r="H23" s="281"/>
      <c r="I23" s="281"/>
      <c r="J23" s="282"/>
    </row>
    <row r="24" spans="1:10" ht="19.5" customHeight="1" x14ac:dyDescent="0.2">
      <c r="A24" s="52"/>
      <c r="B24" s="138" t="s">
        <v>69</v>
      </c>
      <c r="C24" s="283" t="s">
        <v>65</v>
      </c>
      <c r="D24" s="283"/>
      <c r="E24" s="283"/>
      <c r="F24" s="283"/>
      <c r="G24" s="280" t="str">
        <f>'FORM SKP'!C9</f>
        <v>Politeknik Perkapalan Negeri Surabaya</v>
      </c>
      <c r="H24" s="281"/>
      <c r="I24" s="281"/>
      <c r="J24" s="282"/>
    </row>
    <row r="25" spans="1:10" ht="20.100000000000001" customHeight="1" x14ac:dyDescent="0.2">
      <c r="A25" s="44" t="s">
        <v>77</v>
      </c>
      <c r="B25" s="277" t="s">
        <v>71</v>
      </c>
      <c r="C25" s="278"/>
      <c r="D25" s="278"/>
      <c r="E25" s="278"/>
      <c r="F25" s="278"/>
      <c r="G25" s="278"/>
      <c r="H25" s="278"/>
      <c r="I25" s="278"/>
      <c r="J25" s="279"/>
    </row>
    <row r="26" spans="1:10" ht="20.100000000000001" customHeight="1" x14ac:dyDescent="0.2">
      <c r="A26" s="45"/>
      <c r="B26" s="137" t="s">
        <v>62</v>
      </c>
      <c r="C26" s="288" t="s">
        <v>61</v>
      </c>
      <c r="D26" s="288"/>
      <c r="E26" s="288"/>
      <c r="F26" s="288"/>
      <c r="G26" s="274" t="str">
        <f>'DATA SKP'!E16</f>
        <v>Ir. Eko Julianto, M.Sc., FRINA</v>
      </c>
      <c r="H26" s="275"/>
      <c r="I26" s="275"/>
      <c r="J26" s="276"/>
    </row>
    <row r="27" spans="1:10" ht="20.100000000000001" customHeight="1" x14ac:dyDescent="0.2">
      <c r="A27" s="45"/>
      <c r="B27" s="138" t="s">
        <v>66</v>
      </c>
      <c r="C27" s="283" t="s">
        <v>5</v>
      </c>
      <c r="D27" s="283"/>
      <c r="E27" s="283"/>
      <c r="F27" s="283"/>
      <c r="G27" s="277" t="str">
        <f>'DATA SKP'!E17</f>
        <v>196501231991031002</v>
      </c>
      <c r="H27" s="278"/>
      <c r="I27" s="278"/>
      <c r="J27" s="279"/>
    </row>
    <row r="28" spans="1:10" ht="20.100000000000001" customHeight="1" x14ac:dyDescent="0.2">
      <c r="A28" s="45"/>
      <c r="B28" s="138" t="s">
        <v>67</v>
      </c>
      <c r="C28" s="283" t="s">
        <v>63</v>
      </c>
      <c r="D28" s="283"/>
      <c r="E28" s="283"/>
      <c r="F28" s="283"/>
      <c r="G28" s="277" t="str">
        <f>'DATA SKP'!E18</f>
        <v>Pembina Tingkat I / IV/b</v>
      </c>
      <c r="H28" s="278"/>
      <c r="I28" s="278"/>
      <c r="J28" s="279"/>
    </row>
    <row r="29" spans="1:10" ht="20.100000000000001" customHeight="1" x14ac:dyDescent="0.2">
      <c r="A29" s="45"/>
      <c r="B29" s="138" t="s">
        <v>68</v>
      </c>
      <c r="C29" s="283" t="s">
        <v>64</v>
      </c>
      <c r="D29" s="283"/>
      <c r="E29" s="283"/>
      <c r="F29" s="283"/>
      <c r="G29" s="277" t="str">
        <f>'DATA SKP'!E19</f>
        <v>Direktur</v>
      </c>
      <c r="H29" s="278"/>
      <c r="I29" s="278"/>
      <c r="J29" s="279"/>
    </row>
    <row r="30" spans="1:10" ht="20.100000000000001" customHeight="1" x14ac:dyDescent="0.2">
      <c r="A30" s="50"/>
      <c r="B30" s="138" t="s">
        <v>69</v>
      </c>
      <c r="C30" s="283" t="s">
        <v>65</v>
      </c>
      <c r="D30" s="283"/>
      <c r="E30" s="283"/>
      <c r="F30" s="283"/>
      <c r="G30" s="280" t="str">
        <f>'DATA SKP'!E20</f>
        <v>Politeknik Perkapalan Negeri Surabaya</v>
      </c>
      <c r="H30" s="281"/>
      <c r="I30" s="281"/>
      <c r="J30" s="282"/>
    </row>
    <row r="31" spans="1:10" ht="20.100000000000001" customHeight="1" x14ac:dyDescent="0.2">
      <c r="A31" s="44" t="s">
        <v>99</v>
      </c>
      <c r="B31" s="302" t="s">
        <v>73</v>
      </c>
      <c r="C31" s="311"/>
      <c r="D31" s="311"/>
      <c r="E31" s="311"/>
      <c r="F31" s="311"/>
      <c r="G31" s="311"/>
      <c r="H31" s="311"/>
      <c r="I31" s="312"/>
      <c r="J31" s="53" t="s">
        <v>82</v>
      </c>
    </row>
    <row r="32" spans="1:10" ht="20.100000000000001" customHeight="1" x14ac:dyDescent="0.2">
      <c r="A32" s="54"/>
      <c r="B32" s="302" t="s">
        <v>74</v>
      </c>
      <c r="C32" s="310" t="s">
        <v>102</v>
      </c>
      <c r="D32" s="310"/>
      <c r="E32" s="310"/>
      <c r="F32" s="310"/>
      <c r="G32" s="310"/>
      <c r="H32" s="289" t="e">
        <f>'PERILAKU KERJA'!$E$10</f>
        <v>#DIV/0!</v>
      </c>
      <c r="I32" s="291" t="s">
        <v>100</v>
      </c>
      <c r="J32" s="293" t="e">
        <f>H32*60%</f>
        <v>#DIV/0!</v>
      </c>
    </row>
    <row r="33" spans="1:10" ht="20.100000000000001" customHeight="1" x14ac:dyDescent="0.2">
      <c r="A33" s="54"/>
      <c r="B33" s="304"/>
      <c r="C33" s="283"/>
      <c r="D33" s="283"/>
      <c r="E33" s="283"/>
      <c r="F33" s="283"/>
      <c r="G33" s="283"/>
      <c r="H33" s="290"/>
      <c r="I33" s="292"/>
      <c r="J33" s="294"/>
    </row>
    <row r="34" spans="1:10" ht="20.100000000000001" customHeight="1" x14ac:dyDescent="0.2">
      <c r="A34" s="54"/>
      <c r="B34" s="302" t="s">
        <v>66</v>
      </c>
      <c r="C34" s="305" t="s">
        <v>81</v>
      </c>
      <c r="D34" s="306"/>
      <c r="E34" s="138" t="s">
        <v>75</v>
      </c>
      <c r="F34" s="49" t="str">
        <f>'PERILAKU KERJA'!E12</f>
        <v>Orientasi Pelayanan</v>
      </c>
      <c r="G34" s="49"/>
      <c r="H34" s="69">
        <f>'PERILAKU KERJA'!H12</f>
        <v>0</v>
      </c>
      <c r="I34" s="52" t="str">
        <f>'PERILAKU KERJA'!I12</f>
        <v>(Buruk)</v>
      </c>
      <c r="J34" s="55"/>
    </row>
    <row r="35" spans="1:10" ht="20.100000000000001" customHeight="1" x14ac:dyDescent="0.2">
      <c r="A35" s="54"/>
      <c r="B35" s="303"/>
      <c r="C35" s="218"/>
      <c r="D35" s="307"/>
      <c r="E35" s="138" t="s">
        <v>76</v>
      </c>
      <c r="F35" s="288" t="str">
        <f>'PERILAKU KERJA'!E13</f>
        <v>Integritas</v>
      </c>
      <c r="G35" s="301"/>
      <c r="H35" s="63">
        <f>'PERILAKU KERJA'!H13</f>
        <v>0</v>
      </c>
      <c r="I35" s="53" t="str">
        <f>'PERILAKU KERJA'!I13</f>
        <v>(Buruk)</v>
      </c>
      <c r="J35" s="55"/>
    </row>
    <row r="36" spans="1:10" ht="20.100000000000001" customHeight="1" x14ac:dyDescent="0.2">
      <c r="A36" s="54"/>
      <c r="B36" s="303"/>
      <c r="C36" s="218"/>
      <c r="D36" s="307"/>
      <c r="E36" s="138" t="s">
        <v>77</v>
      </c>
      <c r="F36" s="288" t="str">
        <f>'PERILAKU KERJA'!E14</f>
        <v>Komitmen</v>
      </c>
      <c r="G36" s="301"/>
      <c r="H36" s="63">
        <f>'PERILAKU KERJA'!H14</f>
        <v>0</v>
      </c>
      <c r="I36" s="53" t="str">
        <f>'PERILAKU KERJA'!I14</f>
        <v>(Buruk)</v>
      </c>
      <c r="J36" s="55"/>
    </row>
    <row r="37" spans="1:10" ht="20.100000000000001" customHeight="1" x14ac:dyDescent="0.2">
      <c r="A37" s="54"/>
      <c r="B37" s="303"/>
      <c r="C37" s="218"/>
      <c r="D37" s="307"/>
      <c r="E37" s="138">
        <v>4</v>
      </c>
      <c r="F37" s="288" t="str">
        <f>'PERILAKU KERJA'!E15</f>
        <v>Disiplin</v>
      </c>
      <c r="G37" s="301"/>
      <c r="H37" s="63">
        <f>'PERILAKU KERJA'!H15</f>
        <v>0</v>
      </c>
      <c r="I37" s="53" t="str">
        <f>'PERILAKU KERJA'!I15</f>
        <v>(Buruk)</v>
      </c>
      <c r="J37" s="55"/>
    </row>
    <row r="38" spans="1:10" ht="20.100000000000001" customHeight="1" x14ac:dyDescent="0.2">
      <c r="A38" s="54"/>
      <c r="B38" s="303"/>
      <c r="C38" s="218"/>
      <c r="D38" s="307"/>
      <c r="E38" s="138" t="s">
        <v>78</v>
      </c>
      <c r="F38" s="288" t="str">
        <f>'PERILAKU KERJA'!E16</f>
        <v>Kerjasama</v>
      </c>
      <c r="G38" s="301"/>
      <c r="H38" s="63">
        <f>'PERILAKU KERJA'!H16</f>
        <v>0</v>
      </c>
      <c r="I38" s="53" t="str">
        <f>'PERILAKU KERJA'!I16</f>
        <v>(Buruk)</v>
      </c>
      <c r="J38" s="55"/>
    </row>
    <row r="39" spans="1:10" ht="20.100000000000001" customHeight="1" x14ac:dyDescent="0.2">
      <c r="A39" s="54"/>
      <c r="B39" s="303"/>
      <c r="C39" s="218"/>
      <c r="D39" s="307"/>
      <c r="E39" s="138" t="s">
        <v>79</v>
      </c>
      <c r="F39" s="288" t="str">
        <f>'PERILAKU KERJA'!E17</f>
        <v>Kepemimpinan</v>
      </c>
      <c r="G39" s="301"/>
      <c r="H39" s="63">
        <f>'PERILAKU KERJA'!H17</f>
        <v>0</v>
      </c>
      <c r="I39" s="53" t="str">
        <f>'PERILAKU KERJA'!I17</f>
        <v>(Buruk)</v>
      </c>
      <c r="J39" s="55"/>
    </row>
    <row r="40" spans="1:10" ht="20.100000000000001" customHeight="1" x14ac:dyDescent="0.2">
      <c r="A40" s="54"/>
      <c r="B40" s="303"/>
      <c r="C40" s="218"/>
      <c r="D40" s="307"/>
      <c r="E40" s="137" t="s">
        <v>54</v>
      </c>
      <c r="F40" s="46"/>
      <c r="G40" s="140"/>
      <c r="H40" s="70">
        <f>'PERILAKU KERJA'!H18</f>
        <v>0</v>
      </c>
      <c r="I40" s="53">
        <f>'PERILAKU KERJA'!I18</f>
        <v>0</v>
      </c>
      <c r="J40" s="55"/>
    </row>
    <row r="41" spans="1:10" ht="20.100000000000001" customHeight="1" x14ac:dyDescent="0.2">
      <c r="A41" s="54"/>
      <c r="B41" s="303"/>
      <c r="C41" s="218"/>
      <c r="D41" s="307"/>
      <c r="E41" s="137" t="s">
        <v>55</v>
      </c>
      <c r="F41" s="46"/>
      <c r="G41" s="140"/>
      <c r="H41" s="67" t="e">
        <f>'PERILAKU KERJA'!H19</f>
        <v>#DIV/0!</v>
      </c>
      <c r="I41" s="44" t="e">
        <f>'PERILAKU KERJA'!I19</f>
        <v>#DIV/0!</v>
      </c>
      <c r="J41" s="55"/>
    </row>
    <row r="42" spans="1:10" ht="20.100000000000001" customHeight="1" x14ac:dyDescent="0.2">
      <c r="A42" s="47"/>
      <c r="B42" s="304"/>
      <c r="C42" s="308"/>
      <c r="D42" s="309"/>
      <c r="E42" s="137" t="s">
        <v>80</v>
      </c>
      <c r="F42" s="46"/>
      <c r="G42" s="46"/>
      <c r="H42" s="71" t="e">
        <f>H41</f>
        <v>#DIV/0!</v>
      </c>
      <c r="I42" s="56" t="s">
        <v>101</v>
      </c>
      <c r="J42" s="63" t="e">
        <f>H42*40%</f>
        <v>#DIV/0!</v>
      </c>
    </row>
    <row r="43" spans="1:10" ht="20.100000000000001" customHeight="1" x14ac:dyDescent="0.2">
      <c r="A43" s="295" t="s">
        <v>83</v>
      </c>
      <c r="B43" s="296"/>
      <c r="C43" s="296"/>
      <c r="D43" s="296"/>
      <c r="E43" s="296"/>
      <c r="F43" s="296"/>
      <c r="G43" s="296"/>
      <c r="H43" s="296"/>
      <c r="I43" s="297"/>
      <c r="J43" s="67" t="e">
        <f>J32+J42</f>
        <v>#DIV/0!</v>
      </c>
    </row>
    <row r="44" spans="1:10" ht="20.100000000000001" customHeight="1" x14ac:dyDescent="0.2">
      <c r="A44" s="298"/>
      <c r="B44" s="299"/>
      <c r="C44" s="299"/>
      <c r="D44" s="299"/>
      <c r="E44" s="299"/>
      <c r="F44" s="299"/>
      <c r="G44" s="299"/>
      <c r="H44" s="299"/>
      <c r="I44" s="300"/>
      <c r="J44" s="62" t="e">
        <f>IF(J43&lt;=50,"(Buruk)",IF(J43&lt;=60,"(Kurang)",IF(J43&lt;=75,"(Cukup)",IF(J43&lt;=90.99,"(Baik)","(Sangat Baik)"))))</f>
        <v>#DIV/0!</v>
      </c>
    </row>
    <row r="45" spans="1:10" ht="1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44"/>
    </row>
    <row r="46" spans="1:10" ht="15" customHeight="1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145"/>
    </row>
    <row r="47" spans="1:10" s="26" customFormat="1" ht="15" customHeight="1" x14ac:dyDescent="0.25">
      <c r="A47" s="57"/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15" customHeight="1" x14ac:dyDescent="0.2">
      <c r="A48" s="139" t="s">
        <v>78</v>
      </c>
      <c r="B48" s="60" t="s">
        <v>84</v>
      </c>
      <c r="C48" s="60"/>
      <c r="D48" s="60"/>
      <c r="E48" s="60"/>
      <c r="F48" s="60"/>
      <c r="G48" s="60"/>
      <c r="H48" s="60"/>
      <c r="I48" s="60"/>
      <c r="J48" s="55"/>
    </row>
    <row r="49" spans="1:10" ht="15" customHeight="1" x14ac:dyDescent="0.2">
      <c r="A49" s="54"/>
      <c r="B49" s="60" t="s">
        <v>85</v>
      </c>
      <c r="C49" s="60"/>
      <c r="D49" s="60"/>
      <c r="E49" s="60"/>
      <c r="F49" s="60"/>
      <c r="G49" s="60"/>
      <c r="H49" s="60"/>
      <c r="I49" s="60"/>
      <c r="J49" s="55"/>
    </row>
    <row r="50" spans="1:10" ht="24.95" customHeight="1" x14ac:dyDescent="0.2">
      <c r="A50" s="54"/>
      <c r="B50" s="60"/>
      <c r="C50" s="60"/>
      <c r="D50" s="60"/>
      <c r="E50" s="60"/>
      <c r="F50" s="60"/>
      <c r="G50" s="60"/>
      <c r="H50" s="60"/>
      <c r="I50" s="60"/>
      <c r="J50" s="55"/>
    </row>
    <row r="51" spans="1:10" ht="24.95" customHeight="1" x14ac:dyDescent="0.2">
      <c r="A51" s="54"/>
      <c r="B51" s="60"/>
      <c r="C51" s="60"/>
      <c r="D51" s="60"/>
      <c r="E51" s="60"/>
      <c r="F51" s="60"/>
      <c r="G51" s="60"/>
      <c r="H51" s="60"/>
      <c r="I51" s="60"/>
      <c r="J51" s="55"/>
    </row>
    <row r="52" spans="1:10" ht="24.95" customHeight="1" x14ac:dyDescent="0.2">
      <c r="A52" s="54"/>
      <c r="B52" s="60"/>
      <c r="C52" s="60"/>
      <c r="D52" s="60"/>
      <c r="E52" s="60"/>
      <c r="F52" s="60"/>
      <c r="G52" s="60"/>
      <c r="H52" s="60"/>
      <c r="I52" s="60"/>
      <c r="J52" s="55"/>
    </row>
    <row r="53" spans="1:10" ht="24.95" customHeight="1" x14ac:dyDescent="0.2">
      <c r="A53" s="54"/>
      <c r="B53" s="60"/>
      <c r="C53" s="60"/>
      <c r="D53" s="60"/>
      <c r="E53" s="60"/>
      <c r="F53" s="60"/>
      <c r="G53" s="60"/>
      <c r="H53" s="60"/>
      <c r="I53" s="60"/>
      <c r="J53" s="55"/>
    </row>
    <row r="54" spans="1:10" ht="24.95" customHeight="1" x14ac:dyDescent="0.2">
      <c r="A54" s="54"/>
      <c r="B54" s="60"/>
      <c r="C54" s="60"/>
      <c r="D54" s="60"/>
      <c r="E54" s="60"/>
      <c r="F54" s="60"/>
      <c r="G54" s="60"/>
      <c r="H54" s="60"/>
      <c r="I54" s="60" t="s">
        <v>184</v>
      </c>
      <c r="J54" s="55"/>
    </row>
    <row r="55" spans="1:10" ht="24.95" customHeight="1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9"/>
    </row>
    <row r="56" spans="1:10" ht="15" customHeight="1" x14ac:dyDescent="0.2">
      <c r="A56" s="141"/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5" customHeight="1" x14ac:dyDescent="0.2">
      <c r="A57" s="139" t="s">
        <v>79</v>
      </c>
      <c r="B57" s="60" t="s">
        <v>86</v>
      </c>
      <c r="C57" s="60"/>
      <c r="D57" s="60"/>
      <c r="E57" s="60"/>
      <c r="F57" s="60"/>
      <c r="G57" s="60"/>
      <c r="H57" s="60"/>
      <c r="I57" s="60"/>
      <c r="J57" s="55"/>
    </row>
    <row r="58" spans="1:10" ht="24.95" customHeight="1" x14ac:dyDescent="0.2">
      <c r="A58" s="54"/>
      <c r="B58" s="60"/>
      <c r="C58" s="60"/>
      <c r="D58" s="60"/>
      <c r="E58" s="60"/>
      <c r="F58" s="60"/>
      <c r="G58" s="60"/>
      <c r="H58" s="60"/>
      <c r="I58" s="60"/>
      <c r="J58" s="55"/>
    </row>
    <row r="59" spans="1:10" ht="24.95" customHeight="1" x14ac:dyDescent="0.2">
      <c r="A59" s="54"/>
      <c r="B59" s="60"/>
      <c r="C59" s="60"/>
      <c r="D59" s="60"/>
      <c r="E59" s="60"/>
      <c r="F59" s="60"/>
      <c r="G59" s="60"/>
      <c r="H59" s="60"/>
      <c r="I59" s="60"/>
      <c r="J59" s="55"/>
    </row>
    <row r="60" spans="1:10" ht="24.95" customHeight="1" x14ac:dyDescent="0.2">
      <c r="A60" s="54"/>
      <c r="B60" s="60"/>
      <c r="C60" s="60"/>
      <c r="D60" s="60"/>
      <c r="E60" s="60"/>
      <c r="F60" s="60"/>
      <c r="G60" s="60"/>
      <c r="H60" s="60"/>
      <c r="I60" s="60"/>
      <c r="J60" s="55"/>
    </row>
    <row r="61" spans="1:10" ht="24.95" customHeight="1" x14ac:dyDescent="0.2">
      <c r="A61" s="54"/>
      <c r="B61" s="60"/>
      <c r="C61" s="60"/>
      <c r="D61" s="60"/>
      <c r="E61" s="60"/>
      <c r="F61" s="60"/>
      <c r="G61" s="60"/>
      <c r="H61" s="60"/>
      <c r="I61" s="60"/>
      <c r="J61" s="55"/>
    </row>
    <row r="62" spans="1:10" ht="24.95" customHeight="1" x14ac:dyDescent="0.2">
      <c r="A62" s="54"/>
      <c r="B62" s="60"/>
      <c r="C62" s="60"/>
      <c r="D62" s="60"/>
      <c r="E62" s="60"/>
      <c r="F62" s="60"/>
      <c r="G62" s="60"/>
      <c r="H62" s="60"/>
      <c r="I62" s="60"/>
      <c r="J62" s="55"/>
    </row>
    <row r="63" spans="1:10" ht="24.95" customHeight="1" x14ac:dyDescent="0.2">
      <c r="A63" s="54"/>
      <c r="B63" s="60"/>
      <c r="C63" s="60"/>
      <c r="D63" s="60"/>
      <c r="E63" s="60"/>
      <c r="F63" s="60"/>
      <c r="G63" s="60"/>
      <c r="H63" s="60"/>
      <c r="I63" s="60" t="str">
        <f>I54</f>
        <v>Tanggal 1 Juli 2020</v>
      </c>
      <c r="J63" s="55"/>
    </row>
    <row r="64" spans="1:10" ht="24.95" customHeight="1" x14ac:dyDescent="0.2">
      <c r="A64" s="47"/>
      <c r="B64" s="48"/>
      <c r="C64" s="48"/>
      <c r="D64" s="48"/>
      <c r="E64" s="48"/>
      <c r="F64" s="48"/>
      <c r="G64" s="48"/>
      <c r="H64" s="48"/>
      <c r="I64" s="48"/>
      <c r="J64" s="49"/>
    </row>
    <row r="65" spans="1:10" ht="15" customHeight="1" x14ac:dyDescent="0.2">
      <c r="A65" s="141"/>
      <c r="B65" s="142"/>
      <c r="C65" s="142"/>
      <c r="D65" s="142"/>
      <c r="E65" s="142"/>
      <c r="F65" s="142"/>
      <c r="G65" s="142"/>
      <c r="H65" s="142"/>
      <c r="I65" s="142"/>
      <c r="J65" s="143"/>
    </row>
    <row r="66" spans="1:10" ht="15" customHeight="1" x14ac:dyDescent="0.2">
      <c r="A66" s="139" t="s">
        <v>98</v>
      </c>
      <c r="B66" s="60" t="s">
        <v>87</v>
      </c>
      <c r="C66" s="60"/>
      <c r="D66" s="60"/>
      <c r="E66" s="60"/>
      <c r="F66" s="60"/>
      <c r="G66" s="60"/>
      <c r="H66" s="60"/>
      <c r="I66" s="60"/>
      <c r="J66" s="55"/>
    </row>
    <row r="67" spans="1:10" ht="15" customHeight="1" x14ac:dyDescent="0.2">
      <c r="A67" s="54"/>
      <c r="B67" s="60" t="s">
        <v>88</v>
      </c>
      <c r="C67" s="60"/>
      <c r="D67" s="60"/>
      <c r="E67" s="60"/>
      <c r="F67" s="60"/>
      <c r="G67" s="60"/>
      <c r="H67" s="60"/>
      <c r="I67" s="60"/>
      <c r="J67" s="55"/>
    </row>
    <row r="68" spans="1:10" ht="24.95" customHeight="1" x14ac:dyDescent="0.2">
      <c r="A68" s="54"/>
      <c r="B68" s="60"/>
      <c r="C68" s="60"/>
      <c r="D68" s="60"/>
      <c r="E68" s="60"/>
      <c r="F68" s="60"/>
      <c r="G68" s="60"/>
      <c r="H68" s="60"/>
      <c r="I68" s="60"/>
      <c r="J68" s="55"/>
    </row>
    <row r="69" spans="1:10" ht="24.95" customHeight="1" x14ac:dyDescent="0.2">
      <c r="A69" s="54"/>
      <c r="B69" s="60"/>
      <c r="C69" s="60"/>
      <c r="D69" s="60"/>
      <c r="E69" s="60"/>
      <c r="F69" s="60"/>
      <c r="G69" s="60"/>
      <c r="H69" s="60"/>
      <c r="I69" s="60"/>
      <c r="J69" s="55"/>
    </row>
    <row r="70" spans="1:10" ht="24.95" customHeight="1" x14ac:dyDescent="0.2">
      <c r="A70" s="54"/>
      <c r="B70" s="60"/>
      <c r="C70" s="60"/>
      <c r="D70" s="60"/>
      <c r="E70" s="60"/>
      <c r="F70" s="60"/>
      <c r="G70" s="60"/>
      <c r="H70" s="60"/>
      <c r="I70" s="60"/>
      <c r="J70" s="55"/>
    </row>
    <row r="71" spans="1:10" ht="24.95" customHeight="1" x14ac:dyDescent="0.2">
      <c r="A71" s="54"/>
      <c r="B71" s="60"/>
      <c r="C71" s="60"/>
      <c r="D71" s="60"/>
      <c r="E71" s="60"/>
      <c r="F71" s="60"/>
      <c r="G71" s="60"/>
      <c r="H71" s="60"/>
      <c r="I71" s="60"/>
      <c r="J71" s="55"/>
    </row>
    <row r="72" spans="1:10" ht="24.95" customHeight="1" x14ac:dyDescent="0.2">
      <c r="A72" s="54"/>
      <c r="B72" s="60"/>
      <c r="C72" s="60"/>
      <c r="D72" s="60"/>
      <c r="E72" s="60"/>
      <c r="F72" s="60"/>
      <c r="G72" s="60"/>
      <c r="H72" s="60"/>
      <c r="I72" s="60"/>
      <c r="J72" s="55"/>
    </row>
    <row r="73" spans="1:10" ht="24.95" customHeight="1" x14ac:dyDescent="0.2">
      <c r="A73" s="54"/>
      <c r="B73" s="60"/>
      <c r="C73" s="60"/>
      <c r="D73" s="60"/>
      <c r="E73" s="60"/>
      <c r="F73" s="60"/>
      <c r="G73" s="60"/>
      <c r="H73" s="60"/>
      <c r="I73" s="60" t="str">
        <f>I54</f>
        <v>Tanggal 1 Juli 2020</v>
      </c>
      <c r="J73" s="55"/>
    </row>
    <row r="74" spans="1:10" ht="24.95" customHeight="1" x14ac:dyDescent="0.2">
      <c r="A74" s="47"/>
      <c r="B74" s="48"/>
      <c r="C74" s="48"/>
      <c r="D74" s="48"/>
      <c r="E74" s="48"/>
      <c r="F74" s="48"/>
      <c r="G74" s="48"/>
      <c r="H74" s="48"/>
      <c r="I74" s="48"/>
      <c r="J74" s="49"/>
    </row>
    <row r="75" spans="1:10" ht="15" customHeight="1" x14ac:dyDescent="0.2">
      <c r="A75" s="141"/>
      <c r="B75" s="142"/>
      <c r="C75" s="142"/>
      <c r="D75" s="142"/>
      <c r="E75" s="142"/>
      <c r="F75" s="142"/>
      <c r="G75" s="142"/>
      <c r="H75" s="142"/>
      <c r="I75" s="142"/>
      <c r="J75" s="143"/>
    </row>
    <row r="76" spans="1:10" ht="15" customHeight="1" x14ac:dyDescent="0.2">
      <c r="A76" s="139" t="s">
        <v>97</v>
      </c>
      <c r="B76" s="60" t="s">
        <v>89</v>
      </c>
      <c r="C76" s="60"/>
      <c r="D76" s="60"/>
      <c r="E76" s="60"/>
      <c r="F76" s="60"/>
      <c r="G76" s="60"/>
      <c r="H76" s="60"/>
      <c r="I76" s="60"/>
      <c r="J76" s="55"/>
    </row>
    <row r="77" spans="1:10" ht="24.95" customHeight="1" x14ac:dyDescent="0.2">
      <c r="A77" s="54"/>
      <c r="B77" s="60"/>
      <c r="C77" s="60"/>
      <c r="D77" s="60"/>
      <c r="E77" s="60"/>
      <c r="F77" s="60"/>
      <c r="G77" s="60"/>
      <c r="H77" s="60"/>
      <c r="I77" s="60"/>
      <c r="J77" s="55"/>
    </row>
    <row r="78" spans="1:10" ht="24.95" customHeight="1" x14ac:dyDescent="0.2">
      <c r="A78" s="54"/>
      <c r="B78" s="60"/>
      <c r="C78" s="60"/>
      <c r="D78" s="60"/>
      <c r="E78" s="60"/>
      <c r="F78" s="60"/>
      <c r="G78" s="60"/>
      <c r="H78" s="60"/>
      <c r="I78" s="60"/>
      <c r="J78" s="55"/>
    </row>
    <row r="79" spans="1:10" ht="24.95" customHeight="1" x14ac:dyDescent="0.2">
      <c r="A79" s="54"/>
      <c r="B79" s="60"/>
      <c r="C79" s="60"/>
      <c r="D79" s="60"/>
      <c r="E79" s="60"/>
      <c r="F79" s="60"/>
      <c r="G79" s="60"/>
      <c r="H79" s="60"/>
      <c r="I79" s="60"/>
      <c r="J79" s="55"/>
    </row>
    <row r="80" spans="1:10" ht="24.95" customHeight="1" x14ac:dyDescent="0.2">
      <c r="A80" s="54"/>
      <c r="B80" s="60"/>
      <c r="C80" s="60"/>
      <c r="D80" s="60"/>
      <c r="E80" s="60"/>
      <c r="F80" s="60"/>
      <c r="G80" s="60"/>
      <c r="H80" s="60"/>
      <c r="I80" s="60"/>
      <c r="J80" s="55"/>
    </row>
    <row r="81" spans="1:10" ht="24.95" customHeight="1" x14ac:dyDescent="0.2">
      <c r="A81" s="54"/>
      <c r="B81" s="60"/>
      <c r="C81" s="60"/>
      <c r="D81" s="60"/>
      <c r="E81" s="60"/>
      <c r="F81" s="60"/>
      <c r="G81" s="60"/>
      <c r="H81" s="60"/>
      <c r="I81" s="60"/>
      <c r="J81" s="55"/>
    </row>
    <row r="82" spans="1:10" ht="24.95" customHeight="1" x14ac:dyDescent="0.2">
      <c r="A82" s="54"/>
      <c r="B82" s="60"/>
      <c r="C82" s="60"/>
      <c r="D82" s="60"/>
      <c r="E82" s="60"/>
      <c r="F82" s="60"/>
      <c r="G82" s="60"/>
      <c r="H82" s="60"/>
      <c r="I82" s="60"/>
      <c r="J82" s="55"/>
    </row>
    <row r="83" spans="1:10" ht="15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</row>
    <row r="84" spans="1:10" ht="15" customHeight="1" x14ac:dyDescent="0.2">
      <c r="A84" s="48"/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5" customHeight="1" x14ac:dyDescent="0.2">
      <c r="A85" s="133"/>
      <c r="B85" s="142"/>
      <c r="C85" s="142"/>
      <c r="D85" s="142"/>
      <c r="E85" s="142"/>
      <c r="F85" s="142"/>
      <c r="G85" s="147"/>
      <c r="H85" s="142"/>
      <c r="I85" s="142"/>
      <c r="J85" s="143"/>
    </row>
    <row r="86" spans="1:10" ht="15" customHeight="1" x14ac:dyDescent="0.2">
      <c r="A86" s="146"/>
      <c r="B86" s="60"/>
      <c r="C86" s="60"/>
      <c r="D86" s="60"/>
      <c r="E86" s="60"/>
      <c r="F86" s="60"/>
      <c r="G86" s="61" t="s">
        <v>95</v>
      </c>
      <c r="H86" s="60" t="s">
        <v>185</v>
      </c>
      <c r="I86" s="60"/>
      <c r="J86" s="55"/>
    </row>
    <row r="87" spans="1:10" ht="15" customHeight="1" x14ac:dyDescent="0.2">
      <c r="A87" s="54"/>
      <c r="B87" s="60"/>
      <c r="C87" s="60"/>
      <c r="D87" s="60"/>
      <c r="E87" s="60"/>
      <c r="F87" s="60"/>
      <c r="G87" s="60"/>
      <c r="H87" s="285" t="s">
        <v>70</v>
      </c>
      <c r="I87" s="285"/>
      <c r="J87" s="286"/>
    </row>
    <row r="88" spans="1:10" ht="24.95" customHeight="1" x14ac:dyDescent="0.2">
      <c r="A88" s="54"/>
      <c r="B88" s="60"/>
      <c r="C88" s="60"/>
      <c r="D88" s="60"/>
      <c r="E88" s="60"/>
      <c r="F88" s="60"/>
      <c r="G88" s="60"/>
      <c r="H88" s="60"/>
      <c r="I88" s="60"/>
      <c r="J88" s="55"/>
    </row>
    <row r="89" spans="1:10" ht="24.95" customHeight="1" x14ac:dyDescent="0.2">
      <c r="A89" s="54"/>
      <c r="B89" s="60"/>
      <c r="C89" s="60"/>
      <c r="D89" s="60"/>
      <c r="E89" s="60"/>
      <c r="F89" s="60"/>
      <c r="G89" s="60"/>
      <c r="H89" s="60"/>
      <c r="I89" s="60"/>
      <c r="J89" s="55"/>
    </row>
    <row r="90" spans="1:10" ht="24.95" customHeight="1" x14ac:dyDescent="0.2">
      <c r="A90" s="54"/>
      <c r="B90" s="60"/>
      <c r="C90" s="60"/>
      <c r="D90" s="60"/>
      <c r="E90" s="60"/>
      <c r="F90" s="60"/>
      <c r="G90" s="60"/>
      <c r="H90" s="60"/>
      <c r="I90" s="60"/>
      <c r="J90" s="55"/>
    </row>
    <row r="91" spans="1:10" ht="24.95" customHeight="1" x14ac:dyDescent="0.2">
      <c r="A91" s="54"/>
      <c r="B91" s="60"/>
      <c r="C91" s="60"/>
      <c r="D91" s="60"/>
      <c r="E91" s="60"/>
      <c r="F91" s="60"/>
      <c r="G91" s="60"/>
      <c r="H91" s="60"/>
      <c r="I91" s="60"/>
      <c r="J91" s="55"/>
    </row>
    <row r="92" spans="1:10" ht="15" customHeight="1" x14ac:dyDescent="0.2">
      <c r="A92" s="54"/>
      <c r="B92" s="60"/>
      <c r="C92" s="60"/>
      <c r="D92" s="60"/>
      <c r="E92" s="60"/>
      <c r="F92" s="60"/>
      <c r="G92" s="60"/>
      <c r="H92" s="284" t="str">
        <f>G20</f>
        <v>Dr. Eng. Muh. Anis Mustaghfirin, ST., MT.</v>
      </c>
      <c r="I92" s="284"/>
      <c r="J92" s="287"/>
    </row>
    <row r="93" spans="1:10" ht="15" customHeight="1" x14ac:dyDescent="0.2">
      <c r="A93" s="54"/>
      <c r="B93" s="60"/>
      <c r="C93" s="60"/>
      <c r="D93" s="60"/>
      <c r="E93" s="60"/>
      <c r="F93" s="60"/>
      <c r="G93" s="60"/>
      <c r="H93" s="285" t="str">
        <f>G21</f>
        <v>197208051997021001</v>
      </c>
      <c r="I93" s="285"/>
      <c r="J93" s="286"/>
    </row>
    <row r="94" spans="1:10" ht="24.95" customHeight="1" x14ac:dyDescent="0.2">
      <c r="A94" s="54"/>
      <c r="B94" s="60"/>
      <c r="C94" s="60"/>
      <c r="D94" s="60"/>
      <c r="E94" s="60"/>
      <c r="F94" s="60"/>
      <c r="G94" s="60"/>
      <c r="H94" s="60"/>
      <c r="I94" s="60"/>
      <c r="J94" s="55"/>
    </row>
    <row r="95" spans="1:10" ht="15" customHeight="1" x14ac:dyDescent="0.2">
      <c r="A95" s="139" t="s">
        <v>96</v>
      </c>
      <c r="B95" s="216" t="s">
        <v>186</v>
      </c>
      <c r="C95" s="216"/>
      <c r="D95" s="216"/>
      <c r="E95" s="216"/>
      <c r="F95" s="216"/>
      <c r="G95" s="60"/>
      <c r="H95" s="60"/>
      <c r="I95" s="60"/>
      <c r="J95" s="55"/>
    </row>
    <row r="96" spans="1:10" ht="15" customHeight="1" x14ac:dyDescent="0.2">
      <c r="A96" s="54"/>
      <c r="B96" s="285" t="s">
        <v>90</v>
      </c>
      <c r="C96" s="285"/>
      <c r="D96" s="285"/>
      <c r="E96" s="285"/>
      <c r="F96" s="285"/>
      <c r="G96" s="60"/>
      <c r="H96" s="60"/>
      <c r="I96" s="60"/>
      <c r="J96" s="55"/>
    </row>
    <row r="97" spans="1:10" ht="15" customHeight="1" x14ac:dyDescent="0.2">
      <c r="A97" s="54"/>
      <c r="B97" s="285" t="s">
        <v>91</v>
      </c>
      <c r="C97" s="285"/>
      <c r="D97" s="285"/>
      <c r="E97" s="285"/>
      <c r="F97" s="285"/>
      <c r="G97" s="60"/>
      <c r="H97" s="60"/>
      <c r="I97" s="60"/>
      <c r="J97" s="55"/>
    </row>
    <row r="98" spans="1:10" ht="24.95" customHeight="1" x14ac:dyDescent="0.2">
      <c r="A98" s="54"/>
      <c r="B98" s="60"/>
      <c r="C98" s="60"/>
      <c r="D98" s="60"/>
      <c r="E98" s="60"/>
      <c r="F98" s="60"/>
      <c r="G98" s="60"/>
      <c r="H98" s="60"/>
      <c r="I98" s="60"/>
      <c r="J98" s="55"/>
    </row>
    <row r="99" spans="1:10" ht="24.95" customHeight="1" x14ac:dyDescent="0.2">
      <c r="A99" s="54"/>
      <c r="B99" s="60"/>
      <c r="C99" s="60"/>
      <c r="D99" s="60"/>
      <c r="E99" s="60"/>
      <c r="F99" s="60"/>
      <c r="G99" s="60"/>
      <c r="H99" s="60"/>
      <c r="I99" s="60"/>
      <c r="J99" s="55"/>
    </row>
    <row r="100" spans="1:10" ht="24.95" customHeight="1" x14ac:dyDescent="0.2">
      <c r="A100" s="54"/>
      <c r="B100" s="60"/>
      <c r="C100" s="60"/>
      <c r="D100" s="60"/>
      <c r="E100" s="60"/>
      <c r="F100" s="60"/>
      <c r="G100" s="60"/>
      <c r="H100" s="60"/>
      <c r="I100" s="60"/>
      <c r="J100" s="55"/>
    </row>
    <row r="101" spans="1:10" ht="24.95" customHeight="1" x14ac:dyDescent="0.2">
      <c r="A101" s="54"/>
      <c r="B101" s="60"/>
      <c r="C101" s="60"/>
      <c r="D101" s="60"/>
      <c r="E101" s="60"/>
      <c r="F101" s="60"/>
      <c r="G101" s="60"/>
      <c r="H101" s="60"/>
      <c r="I101" s="60"/>
      <c r="J101" s="55"/>
    </row>
    <row r="102" spans="1:10" ht="15" customHeight="1" x14ac:dyDescent="0.2">
      <c r="A102" s="54"/>
      <c r="B102" s="284" t="str">
        <f>G14</f>
        <v>Mursiatin, S.Sos.</v>
      </c>
      <c r="C102" s="284"/>
      <c r="D102" s="284"/>
      <c r="E102" s="284"/>
      <c r="F102" s="284"/>
      <c r="G102" s="60"/>
      <c r="H102" s="60"/>
      <c r="I102" s="60"/>
      <c r="J102" s="55"/>
    </row>
    <row r="103" spans="1:10" ht="15" customHeight="1" x14ac:dyDescent="0.2">
      <c r="A103" s="54"/>
      <c r="B103" s="285" t="str">
        <f>G15</f>
        <v>196709261989022001</v>
      </c>
      <c r="C103" s="285"/>
      <c r="D103" s="285"/>
      <c r="E103" s="285"/>
      <c r="F103" s="285"/>
      <c r="G103" s="60"/>
      <c r="H103" s="60"/>
      <c r="I103" s="60"/>
      <c r="J103" s="55"/>
    </row>
    <row r="104" spans="1:10" ht="24.95" customHeight="1" x14ac:dyDescent="0.2">
      <c r="A104" s="54"/>
      <c r="B104" s="60"/>
      <c r="C104" s="60"/>
      <c r="D104" s="60"/>
      <c r="E104" s="60"/>
      <c r="F104" s="60"/>
      <c r="G104" s="60"/>
      <c r="H104" s="60"/>
      <c r="I104" s="60"/>
      <c r="J104" s="55"/>
    </row>
    <row r="105" spans="1:10" ht="15" customHeight="1" x14ac:dyDescent="0.2">
      <c r="A105" s="54"/>
      <c r="B105" s="60"/>
      <c r="C105" s="60"/>
      <c r="D105" s="60"/>
      <c r="E105" s="60"/>
      <c r="F105" s="60"/>
      <c r="G105" s="61" t="s">
        <v>94</v>
      </c>
      <c r="H105" s="60" t="s">
        <v>187</v>
      </c>
      <c r="I105" s="60"/>
      <c r="J105" s="55"/>
    </row>
    <row r="106" spans="1:10" ht="15" customHeight="1" x14ac:dyDescent="0.2">
      <c r="A106" s="54"/>
      <c r="B106" s="60"/>
      <c r="C106" s="60"/>
      <c r="D106" s="60"/>
      <c r="E106" s="60"/>
      <c r="F106" s="60"/>
      <c r="G106" s="60"/>
      <c r="H106" s="285" t="s">
        <v>92</v>
      </c>
      <c r="I106" s="285"/>
      <c r="J106" s="286"/>
    </row>
    <row r="107" spans="1:10" ht="24.95" customHeight="1" x14ac:dyDescent="0.2">
      <c r="A107" s="54"/>
      <c r="B107" s="60"/>
      <c r="C107" s="60"/>
      <c r="D107" s="60"/>
      <c r="E107" s="60"/>
      <c r="F107" s="60"/>
      <c r="G107" s="60"/>
      <c r="H107" s="60"/>
      <c r="I107" s="60"/>
      <c r="J107" s="55"/>
    </row>
    <row r="108" spans="1:10" ht="24.95" customHeight="1" x14ac:dyDescent="0.2">
      <c r="A108" s="54"/>
      <c r="B108" s="60"/>
      <c r="C108" s="60"/>
      <c r="D108" s="60"/>
      <c r="E108" s="60"/>
      <c r="F108" s="60"/>
      <c r="G108" s="60"/>
      <c r="H108" s="60"/>
      <c r="I108" s="60"/>
      <c r="J108" s="55"/>
    </row>
    <row r="109" spans="1:10" ht="24.95" customHeight="1" x14ac:dyDescent="0.2">
      <c r="A109" s="54"/>
      <c r="B109" s="60"/>
      <c r="C109" s="60"/>
      <c r="D109" s="60"/>
      <c r="E109" s="60"/>
      <c r="F109" s="60"/>
      <c r="G109" s="60"/>
      <c r="H109" s="60"/>
      <c r="I109" s="60"/>
      <c r="J109" s="55"/>
    </row>
    <row r="110" spans="1:10" ht="24.95" customHeight="1" x14ac:dyDescent="0.2">
      <c r="A110" s="54"/>
      <c r="B110" s="60"/>
      <c r="C110" s="60"/>
      <c r="D110" s="60"/>
      <c r="E110" s="60"/>
      <c r="F110" s="60"/>
      <c r="G110" s="60"/>
      <c r="H110" s="60"/>
      <c r="I110" s="60"/>
      <c r="J110" s="55"/>
    </row>
    <row r="111" spans="1:10" ht="15" customHeight="1" x14ac:dyDescent="0.2">
      <c r="A111" s="54"/>
      <c r="B111" s="60"/>
      <c r="C111" s="60"/>
      <c r="D111" s="60"/>
      <c r="E111" s="60"/>
      <c r="F111" s="60"/>
      <c r="G111" s="60"/>
      <c r="H111" s="284" t="str">
        <f>G26</f>
        <v>Ir. Eko Julianto, M.Sc., FRINA</v>
      </c>
      <c r="I111" s="284"/>
      <c r="J111" s="287"/>
    </row>
    <row r="112" spans="1:10" ht="15" customHeight="1" x14ac:dyDescent="0.2">
      <c r="A112" s="54"/>
      <c r="B112" s="60"/>
      <c r="C112" s="60"/>
      <c r="D112" s="60"/>
      <c r="E112" s="60"/>
      <c r="F112" s="60"/>
      <c r="G112" s="60"/>
      <c r="H112" s="285" t="str">
        <f>G27</f>
        <v>196501231991031002</v>
      </c>
      <c r="I112" s="285"/>
      <c r="J112" s="286"/>
    </row>
    <row r="113" spans="1:10" x14ac:dyDescent="0.2">
      <c r="A113" s="22"/>
      <c r="B113" s="25"/>
      <c r="C113" s="25"/>
      <c r="D113" s="25"/>
      <c r="E113" s="25"/>
      <c r="F113" s="25"/>
      <c r="G113" s="25"/>
      <c r="H113" s="25"/>
      <c r="I113" s="25"/>
      <c r="J113" s="23"/>
    </row>
  </sheetData>
  <sheetProtection algorithmName="SHA-512" hashValue="eZtAjAfQZD7bPKESiyAj9BfyEfQBCf0jCalvljFUI0QQdVHGjsEEtS6w9qjg0PsdjMzTyrJlxlOU+UgQ3qZFQg==" saltValue="1C4gkJDEv3x0ZX52GIgc5Q==" spinCount="100000" sheet="1" objects="1" scenarios="1"/>
  <mergeCells count="60">
    <mergeCell ref="C24:F24"/>
    <mergeCell ref="B31:I31"/>
    <mergeCell ref="B25:J25"/>
    <mergeCell ref="G27:J27"/>
    <mergeCell ref="G28:J28"/>
    <mergeCell ref="G26:J26"/>
    <mergeCell ref="C27:F27"/>
    <mergeCell ref="C28:F28"/>
    <mergeCell ref="C29:F29"/>
    <mergeCell ref="A43:I44"/>
    <mergeCell ref="B97:F97"/>
    <mergeCell ref="G23:J23"/>
    <mergeCell ref="C26:F26"/>
    <mergeCell ref="F36:G36"/>
    <mergeCell ref="B96:F96"/>
    <mergeCell ref="B34:B42"/>
    <mergeCell ref="C34:D42"/>
    <mergeCell ref="F39:G39"/>
    <mergeCell ref="F37:G37"/>
    <mergeCell ref="F38:G38"/>
    <mergeCell ref="F35:G35"/>
    <mergeCell ref="B32:B33"/>
    <mergeCell ref="C32:G33"/>
    <mergeCell ref="G29:J29"/>
    <mergeCell ref="G30:J30"/>
    <mergeCell ref="A7:J7"/>
    <mergeCell ref="A8:J8"/>
    <mergeCell ref="C14:F14"/>
    <mergeCell ref="H32:H33"/>
    <mergeCell ref="I32:I33"/>
    <mergeCell ref="J32:J33"/>
    <mergeCell ref="B13:J13"/>
    <mergeCell ref="C15:F15"/>
    <mergeCell ref="C18:F18"/>
    <mergeCell ref="G18:J18"/>
    <mergeCell ref="G24:J24"/>
    <mergeCell ref="C20:F20"/>
    <mergeCell ref="G22:J22"/>
    <mergeCell ref="C22:F22"/>
    <mergeCell ref="C30:F30"/>
    <mergeCell ref="C23:F23"/>
    <mergeCell ref="B102:F102"/>
    <mergeCell ref="H112:J112"/>
    <mergeCell ref="H87:J87"/>
    <mergeCell ref="H92:J92"/>
    <mergeCell ref="H93:J93"/>
    <mergeCell ref="B95:F95"/>
    <mergeCell ref="H106:J106"/>
    <mergeCell ref="H111:J111"/>
    <mergeCell ref="B103:F103"/>
    <mergeCell ref="G14:J14"/>
    <mergeCell ref="G15:J15"/>
    <mergeCell ref="G16:J16"/>
    <mergeCell ref="G20:J20"/>
    <mergeCell ref="G21:J21"/>
    <mergeCell ref="G17:J17"/>
    <mergeCell ref="B19:J19"/>
    <mergeCell ref="C16:F16"/>
    <mergeCell ref="C17:F17"/>
    <mergeCell ref="C21:F21"/>
  </mergeCells>
  <printOptions horizontalCentered="1"/>
  <pageMargins left="0.25" right="0.25" top="0.5" bottom="0" header="0.25" footer="0.25"/>
  <pageSetup paperSize="9" scale="95" orientation="portrait" horizontalDpi="300" verticalDpi="300" r:id="rId1"/>
  <rowBreaks count="2" manualBreakCount="2">
    <brk id="45" max="9" man="1"/>
    <brk id="83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75" zoomScaleNormal="75" workbookViewId="0">
      <pane ySplit="1" topLeftCell="A2" activePane="bottomLeft" state="frozen"/>
      <selection pane="bottomLeft" activeCell="AI31" sqref="AI31"/>
    </sheetView>
  </sheetViews>
  <sheetFormatPr defaultRowHeight="14.25" x14ac:dyDescent="0.2"/>
  <cols>
    <col min="1" max="1" width="22.5703125" style="154" hidden="1" customWidth="1"/>
    <col min="2" max="2" width="22.28515625" style="154" hidden="1" customWidth="1"/>
    <col min="3" max="3" width="20.5703125" style="154" hidden="1" customWidth="1"/>
    <col min="4" max="4" width="9.7109375" style="154" hidden="1" customWidth="1"/>
    <col min="5" max="5" width="48" style="154" hidden="1" customWidth="1"/>
    <col min="6" max="6" width="26.42578125" style="154" hidden="1" customWidth="1"/>
    <col min="7" max="8" width="22.42578125" style="154" hidden="1" customWidth="1"/>
    <col min="9" max="9" width="32" style="154" hidden="1" customWidth="1"/>
    <col min="10" max="10" width="26.42578125" style="154" hidden="1" customWidth="1"/>
    <col min="11" max="11" width="24.28515625" style="154" hidden="1" customWidth="1"/>
    <col min="12" max="12" width="28.7109375" style="154" hidden="1" customWidth="1"/>
    <col min="13" max="13" width="28.140625" style="154" hidden="1" customWidth="1"/>
    <col min="14" max="14" width="4.42578125" style="154" hidden="1" customWidth="1"/>
    <col min="15" max="15" width="9.140625" style="154" hidden="1" customWidth="1"/>
    <col min="16" max="16" width="37.42578125" style="154" hidden="1" customWidth="1"/>
    <col min="17" max="17" width="22.28515625" style="154" hidden="1" customWidth="1"/>
    <col min="18" max="18" width="25.85546875" style="154" hidden="1" customWidth="1"/>
    <col min="19" max="19" width="40.5703125" style="154" hidden="1" customWidth="1"/>
    <col min="20" max="20" width="31.42578125" style="154" hidden="1" customWidth="1"/>
    <col min="21" max="21" width="22.28515625" style="154" hidden="1" customWidth="1"/>
    <col min="22" max="22" width="17.28515625" style="154" hidden="1" customWidth="1"/>
    <col min="23" max="23" width="17.42578125" style="154" hidden="1" customWidth="1"/>
    <col min="24" max="16384" width="9.140625" style="154"/>
  </cols>
  <sheetData>
    <row r="1" spans="1:23" s="158" customFormat="1" ht="17.25" customHeight="1" x14ac:dyDescent="0.3">
      <c r="A1" s="157" t="s">
        <v>136</v>
      </c>
      <c r="B1" s="157" t="s">
        <v>137</v>
      </c>
      <c r="C1" s="157" t="s">
        <v>138</v>
      </c>
      <c r="D1" s="157" t="s">
        <v>118</v>
      </c>
      <c r="E1" s="163" t="s">
        <v>139</v>
      </c>
      <c r="F1" s="157" t="s">
        <v>140</v>
      </c>
      <c r="G1" s="157" t="s">
        <v>141</v>
      </c>
      <c r="H1" s="157" t="s">
        <v>142</v>
      </c>
      <c r="I1" s="163" t="s">
        <v>143</v>
      </c>
      <c r="J1" s="157" t="s">
        <v>147</v>
      </c>
      <c r="K1" s="157" t="s">
        <v>146</v>
      </c>
      <c r="L1" s="157" t="s">
        <v>145</v>
      </c>
      <c r="M1" s="157" t="s">
        <v>144</v>
      </c>
      <c r="N1" s="157" t="s">
        <v>42</v>
      </c>
      <c r="P1" s="166" t="s">
        <v>152</v>
      </c>
      <c r="Q1" s="166" t="s">
        <v>153</v>
      </c>
      <c r="R1" s="166" t="s">
        <v>154</v>
      </c>
      <c r="S1" s="166" t="s">
        <v>155</v>
      </c>
      <c r="T1" s="166" t="s">
        <v>157</v>
      </c>
      <c r="U1" s="166" t="s">
        <v>158</v>
      </c>
      <c r="V1" s="166" t="s">
        <v>159</v>
      </c>
      <c r="W1" s="166" t="s">
        <v>160</v>
      </c>
    </row>
    <row r="2" spans="1:23" s="158" customFormat="1" ht="17.25" customHeight="1" x14ac:dyDescent="0.3">
      <c r="A2" s="155" t="s">
        <v>111</v>
      </c>
      <c r="B2" s="155" t="s">
        <v>112</v>
      </c>
      <c r="C2" s="155" t="str">
        <f t="shared" ref="C2:C7" si="0">IF(D2="II/a","Pengatur Muda / II/a",IF(D2="II/b","Pengatur Muda Tingkat I  / II/b",IF(D2="II/c","Pengatur / II/c",IF(D2="II/d","Pengatur Tingkat I / II/d",IF(D2="III/a","Penata Muda / III/a",IF(D2="III/b","Penata Muda Tingkat I / III/b",IF(D2="III/c","Penata / III/c",IF(D2="III/d","Penata Tingkat I / III/d",IF(D2="IV/a","Pembina / IV/a",IF(D2="IV/b","Pembina Tingkat I / IV/b",IF(D2="IV/c","Pembina Utama Muda / IV/c",IF(D2="IV/d","Pembina Utama Madya / IV/d"))))))))))))</f>
        <v>Penata Tingkat I / III/d</v>
      </c>
      <c r="D2" s="160" t="s">
        <v>124</v>
      </c>
      <c r="E2" s="162" t="s">
        <v>161</v>
      </c>
      <c r="F2" s="164" t="s">
        <v>175</v>
      </c>
      <c r="G2" s="156" t="str">
        <f t="shared" ref="G2:G7" si="1">VLOOKUP(F2,$P$2:$W$10,2,FALSE)</f>
        <v>197208051997021001</v>
      </c>
      <c r="H2" s="156" t="str">
        <f t="shared" ref="H2:H7" si="2">VLOOKUP(F2,$P$2:$W$10,3,FALSE)</f>
        <v>Penata Tingkat I / III/d</v>
      </c>
      <c r="I2" s="165" t="str">
        <f t="shared" ref="I2:I7" si="3">VLOOKUP(F2,$P$2:$W$10,4,FALSE)</f>
        <v>Wakil Direktur I</v>
      </c>
      <c r="J2" s="161" t="str">
        <f t="shared" ref="J2:J7" si="4">VLOOKUP(F2,$P$2:$W$10,5,FALSE)</f>
        <v>Ir. Eko Julianto, M.Sc., FRINA</v>
      </c>
      <c r="K2" s="155" t="str">
        <f t="shared" ref="K2:K7" si="5">VLOOKUP(F2,$P$2:$W$10,6,FALSE)</f>
        <v>196501231991031002</v>
      </c>
      <c r="L2" s="155" t="str">
        <f t="shared" ref="L2:L7" si="6">VLOOKUP(F2,$P$2:$W$10,7,FALSE)</f>
        <v>Pembina Tingkat I / IV/b</v>
      </c>
      <c r="M2" s="155" t="str">
        <f t="shared" ref="M2:M7" si="7">VLOOKUP(F2,$P$2:$W$10,8,FALSE)</f>
        <v>Direktur</v>
      </c>
      <c r="N2" s="159">
        <v>1</v>
      </c>
      <c r="P2" s="167" t="s">
        <v>164</v>
      </c>
      <c r="Q2" s="168" t="s">
        <v>133</v>
      </c>
      <c r="R2" s="167" t="s">
        <v>156</v>
      </c>
      <c r="S2" s="167" t="s">
        <v>134</v>
      </c>
      <c r="T2" s="167"/>
      <c r="U2" s="168"/>
      <c r="V2" s="167"/>
      <c r="W2" s="167"/>
    </row>
    <row r="3" spans="1:23" s="158" customFormat="1" ht="17.25" customHeight="1" x14ac:dyDescent="0.3">
      <c r="A3" s="155" t="s">
        <v>126</v>
      </c>
      <c r="B3" s="155" t="s">
        <v>127</v>
      </c>
      <c r="C3" s="155" t="str">
        <f t="shared" si="0"/>
        <v>Penata Tingkat I / III/d</v>
      </c>
      <c r="D3" s="160" t="s">
        <v>124</v>
      </c>
      <c r="E3" s="162" t="s">
        <v>114</v>
      </c>
      <c r="F3" s="164" t="s">
        <v>115</v>
      </c>
      <c r="G3" s="156" t="str">
        <f t="shared" si="1"/>
        <v>197804022003121002</v>
      </c>
      <c r="H3" s="156" t="str">
        <f t="shared" si="2"/>
        <v>Penata Tingkat I / III/d</v>
      </c>
      <c r="I3" s="165" t="str">
        <f t="shared" si="3"/>
        <v>Wakil Direktur II</v>
      </c>
      <c r="J3" s="161" t="str">
        <f t="shared" si="4"/>
        <v>Ir. Eko Julianto, M.Sc., FRINA</v>
      </c>
      <c r="K3" s="155" t="str">
        <f t="shared" si="5"/>
        <v>196501231991031002</v>
      </c>
      <c r="L3" s="155" t="str">
        <f t="shared" si="6"/>
        <v>Pembina Tingkat I / IV/b</v>
      </c>
      <c r="M3" s="155" t="str">
        <f t="shared" si="7"/>
        <v>Direktur</v>
      </c>
      <c r="N3" s="159">
        <v>2</v>
      </c>
      <c r="P3" s="167" t="s">
        <v>175</v>
      </c>
      <c r="Q3" s="168" t="s">
        <v>176</v>
      </c>
      <c r="R3" s="167" t="s">
        <v>113</v>
      </c>
      <c r="S3" s="167" t="s">
        <v>130</v>
      </c>
      <c r="T3" s="167" t="s">
        <v>164</v>
      </c>
      <c r="U3" s="168" t="s">
        <v>133</v>
      </c>
      <c r="V3" s="167" t="s">
        <v>156</v>
      </c>
      <c r="W3" s="167" t="s">
        <v>134</v>
      </c>
    </row>
    <row r="4" spans="1:23" s="158" customFormat="1" ht="17.25" customHeight="1" x14ac:dyDescent="0.3">
      <c r="A4" s="155" t="s">
        <v>169</v>
      </c>
      <c r="B4" s="155" t="s">
        <v>170</v>
      </c>
      <c r="C4" s="155" t="str">
        <f t="shared" si="0"/>
        <v>Penata Tingkat I / III/d</v>
      </c>
      <c r="D4" s="160" t="s">
        <v>124</v>
      </c>
      <c r="E4" s="162" t="s">
        <v>128</v>
      </c>
      <c r="F4" s="164" t="s">
        <v>126</v>
      </c>
      <c r="G4" s="156" t="str">
        <f t="shared" si="1"/>
        <v>197112121992031001</v>
      </c>
      <c r="H4" s="156" t="str">
        <f t="shared" si="2"/>
        <v>Penata Tingkat I / III/d</v>
      </c>
      <c r="I4" s="165" t="str">
        <f t="shared" si="3"/>
        <v>Kepala Bagian Umum dan Keuangan</v>
      </c>
      <c r="J4" s="161" t="str">
        <f t="shared" si="4"/>
        <v>Mardi Santoso, ST., M.Eng.Sc.</v>
      </c>
      <c r="K4" s="155" t="str">
        <f t="shared" si="5"/>
        <v>197804022003121002</v>
      </c>
      <c r="L4" s="155" t="str">
        <f t="shared" si="6"/>
        <v>Penata Tingkat I / III/d</v>
      </c>
      <c r="M4" s="155" t="str">
        <f t="shared" si="7"/>
        <v>Wakil Direktur II</v>
      </c>
      <c r="N4" s="159">
        <v>3</v>
      </c>
      <c r="P4" s="167" t="s">
        <v>115</v>
      </c>
      <c r="Q4" s="168" t="s">
        <v>116</v>
      </c>
      <c r="R4" s="167" t="s">
        <v>113</v>
      </c>
      <c r="S4" s="167" t="s">
        <v>117</v>
      </c>
      <c r="T4" s="167" t="s">
        <v>164</v>
      </c>
      <c r="U4" s="168" t="s">
        <v>133</v>
      </c>
      <c r="V4" s="167" t="s">
        <v>156</v>
      </c>
      <c r="W4" s="167" t="s">
        <v>134</v>
      </c>
    </row>
    <row r="5" spans="1:23" s="158" customFormat="1" ht="17.25" customHeight="1" x14ac:dyDescent="0.3">
      <c r="A5" s="193" t="s">
        <v>120</v>
      </c>
      <c r="B5" s="193" t="s">
        <v>121</v>
      </c>
      <c r="C5" s="155" t="str">
        <f t="shared" si="0"/>
        <v>Penata Tingkat I / III/d</v>
      </c>
      <c r="D5" s="160" t="s">
        <v>124</v>
      </c>
      <c r="E5" s="162" t="s">
        <v>109</v>
      </c>
      <c r="F5" s="164" t="s">
        <v>126</v>
      </c>
      <c r="G5" s="156" t="str">
        <f t="shared" si="1"/>
        <v>197112121992031001</v>
      </c>
      <c r="H5" s="156" t="str">
        <f t="shared" si="2"/>
        <v>Penata Tingkat I / III/d</v>
      </c>
      <c r="I5" s="165" t="str">
        <f t="shared" si="3"/>
        <v>Kepala Bagian Umum dan Keuangan</v>
      </c>
      <c r="J5" s="161" t="str">
        <f t="shared" si="4"/>
        <v>Mardi Santoso, ST., M.Eng.Sc.</v>
      </c>
      <c r="K5" s="155" t="str">
        <f t="shared" si="5"/>
        <v>197804022003121002</v>
      </c>
      <c r="L5" s="155" t="str">
        <f t="shared" si="6"/>
        <v>Penata Tingkat I / III/d</v>
      </c>
      <c r="M5" s="155" t="str">
        <f t="shared" si="7"/>
        <v>Wakil Direktur II</v>
      </c>
      <c r="N5" s="159">
        <v>4</v>
      </c>
      <c r="P5" s="167" t="s">
        <v>177</v>
      </c>
      <c r="Q5" s="168" t="s">
        <v>178</v>
      </c>
      <c r="R5" s="167" t="s">
        <v>108</v>
      </c>
      <c r="S5" s="167" t="s">
        <v>135</v>
      </c>
      <c r="T5" s="167" t="s">
        <v>164</v>
      </c>
      <c r="U5" s="168" t="s">
        <v>133</v>
      </c>
      <c r="V5" s="167" t="s">
        <v>156</v>
      </c>
      <c r="W5" s="167" t="s">
        <v>134</v>
      </c>
    </row>
    <row r="6" spans="1:23" s="158" customFormat="1" ht="17.25" customHeight="1" x14ac:dyDescent="0.3">
      <c r="A6" s="155" t="s">
        <v>122</v>
      </c>
      <c r="B6" s="155" t="s">
        <v>123</v>
      </c>
      <c r="C6" s="155" t="str">
        <f t="shared" si="0"/>
        <v>Penata Tingkat I / III/d</v>
      </c>
      <c r="D6" s="160" t="s">
        <v>124</v>
      </c>
      <c r="E6" s="162" t="s">
        <v>125</v>
      </c>
      <c r="F6" s="164" t="s">
        <v>111</v>
      </c>
      <c r="G6" s="156" t="str">
        <f t="shared" si="1"/>
        <v>196709261989022001</v>
      </c>
      <c r="H6" s="156" t="str">
        <f t="shared" si="2"/>
        <v>Penata Tingkat I / III/d</v>
      </c>
      <c r="I6" s="165" t="str">
        <f t="shared" si="3"/>
        <v>Kepala Bagian Akademik dan PSI</v>
      </c>
      <c r="J6" s="161" t="str">
        <f t="shared" si="4"/>
        <v>Dr. Eng. Muh. Anis Mustaghfirin, ST., MT.</v>
      </c>
      <c r="K6" s="155" t="str">
        <f t="shared" si="5"/>
        <v>197208051997021001</v>
      </c>
      <c r="L6" s="155" t="str">
        <f t="shared" si="6"/>
        <v>Penata Tingkat I / III/d</v>
      </c>
      <c r="M6" s="155" t="str">
        <f t="shared" si="7"/>
        <v>Wakil Direktur I</v>
      </c>
      <c r="N6" s="159">
        <v>5</v>
      </c>
      <c r="P6" s="167" t="s">
        <v>165</v>
      </c>
      <c r="Q6" s="168" t="s">
        <v>166</v>
      </c>
      <c r="R6" s="167" t="s">
        <v>113</v>
      </c>
      <c r="S6" s="167" t="s">
        <v>149</v>
      </c>
      <c r="T6" s="167" t="s">
        <v>175</v>
      </c>
      <c r="U6" s="168" t="s">
        <v>176</v>
      </c>
      <c r="V6" s="167" t="s">
        <v>113</v>
      </c>
      <c r="W6" s="167" t="s">
        <v>130</v>
      </c>
    </row>
    <row r="7" spans="1:23" s="158" customFormat="1" ht="17.25" customHeight="1" x14ac:dyDescent="0.3">
      <c r="A7" s="193" t="s">
        <v>171</v>
      </c>
      <c r="B7" s="193" t="s">
        <v>172</v>
      </c>
      <c r="C7" s="193" t="str">
        <f t="shared" si="0"/>
        <v>Penata / III/c</v>
      </c>
      <c r="D7" s="194" t="s">
        <v>119</v>
      </c>
      <c r="E7" s="195" t="s">
        <v>151</v>
      </c>
      <c r="F7" s="196" t="s">
        <v>111</v>
      </c>
      <c r="G7" s="197" t="str">
        <f t="shared" si="1"/>
        <v>196709261989022001</v>
      </c>
      <c r="H7" s="197" t="str">
        <f t="shared" si="2"/>
        <v>Penata Tingkat I / III/d</v>
      </c>
      <c r="I7" s="198" t="str">
        <f t="shared" si="3"/>
        <v>Kepala Bagian Akademik dan PSI</v>
      </c>
      <c r="J7" s="199" t="str">
        <f t="shared" si="4"/>
        <v>Dr. Eng. Muh. Anis Mustaghfirin, ST., MT.</v>
      </c>
      <c r="K7" s="193" t="str">
        <f t="shared" si="5"/>
        <v>197208051997021001</v>
      </c>
      <c r="L7" s="193" t="str">
        <f t="shared" si="6"/>
        <v>Penata Tingkat I / III/d</v>
      </c>
      <c r="M7" s="193" t="str">
        <f t="shared" si="7"/>
        <v>Wakil Direktur I</v>
      </c>
      <c r="N7" s="159">
        <v>6</v>
      </c>
      <c r="P7" s="167" t="s">
        <v>131</v>
      </c>
      <c r="Q7" s="168" t="s">
        <v>132</v>
      </c>
      <c r="R7" s="167" t="s">
        <v>108</v>
      </c>
      <c r="S7" s="167" t="s">
        <v>150</v>
      </c>
      <c r="T7" s="167" t="s">
        <v>175</v>
      </c>
      <c r="U7" s="168" t="s">
        <v>176</v>
      </c>
      <c r="V7" s="167" t="s">
        <v>113</v>
      </c>
      <c r="W7" s="167" t="s">
        <v>130</v>
      </c>
    </row>
    <row r="8" spans="1:23" s="158" customFormat="1" ht="17.25" customHeight="1" x14ac:dyDescent="0.3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P8" s="167" t="s">
        <v>167</v>
      </c>
      <c r="Q8" s="169" t="s">
        <v>168</v>
      </c>
      <c r="R8" s="167" t="s">
        <v>113</v>
      </c>
      <c r="S8" s="167" t="s">
        <v>148</v>
      </c>
      <c r="T8" s="167" t="s">
        <v>175</v>
      </c>
      <c r="U8" s="168" t="s">
        <v>176</v>
      </c>
      <c r="V8" s="167" t="s">
        <v>113</v>
      </c>
      <c r="W8" s="167" t="s">
        <v>130</v>
      </c>
    </row>
    <row r="9" spans="1:23" s="158" customFormat="1" ht="17.25" customHeight="1" x14ac:dyDescent="0.3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P9" s="167" t="s">
        <v>111</v>
      </c>
      <c r="Q9" s="168" t="s">
        <v>112</v>
      </c>
      <c r="R9" s="167" t="s">
        <v>113</v>
      </c>
      <c r="S9" s="167" t="s">
        <v>129</v>
      </c>
      <c r="T9" s="167" t="s">
        <v>175</v>
      </c>
      <c r="U9" s="168" t="s">
        <v>176</v>
      </c>
      <c r="V9" s="167" t="s">
        <v>113</v>
      </c>
      <c r="W9" s="167" t="s">
        <v>130</v>
      </c>
    </row>
    <row r="10" spans="1:23" s="158" customFormat="1" ht="17.25" customHeight="1" x14ac:dyDescent="0.3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P10" s="167" t="s">
        <v>126</v>
      </c>
      <c r="Q10" s="168" t="s">
        <v>127</v>
      </c>
      <c r="R10" s="167" t="s">
        <v>113</v>
      </c>
      <c r="S10" s="167" t="s">
        <v>114</v>
      </c>
      <c r="T10" s="167" t="s">
        <v>115</v>
      </c>
      <c r="U10" s="168" t="s">
        <v>116</v>
      </c>
      <c r="V10" s="167" t="s">
        <v>113</v>
      </c>
      <c r="W10" s="167" t="s">
        <v>117</v>
      </c>
    </row>
    <row r="11" spans="1:23" x14ac:dyDescent="0.2">
      <c r="D11" s="202"/>
      <c r="E11" s="202"/>
      <c r="F11" s="202"/>
      <c r="G11" s="202"/>
      <c r="H11" s="202"/>
      <c r="I11" s="202"/>
    </row>
  </sheetData>
  <sheetProtection algorithmName="SHA-512" hashValue="Ih+47J2tgnD5vpBb/uZ02bemtI2Kebzl4s9vCaNP77WdgSVhKK1SiRq3D/nAShVNPKVLjRnM5958rl3/JpjdHQ==" saltValue="pQ9MnO9tlLFjIpBaW0eZSQ==" spinCount="100000" sheet="1" objects="1" scenarios="1"/>
  <printOptions horizontalCentered="1"/>
  <pageMargins left="0" right="0" top="0.25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 SKP</vt:lpstr>
      <vt:lpstr>COVER</vt:lpstr>
      <vt:lpstr>FORM SKP</vt:lpstr>
      <vt:lpstr>PENGUKURAN</vt:lpstr>
      <vt:lpstr>PERILAKU KERJA</vt:lpstr>
      <vt:lpstr>PENILAIAN</vt:lpstr>
      <vt:lpstr>SOURCE</vt:lpstr>
      <vt:lpstr>COVER!Print_Area</vt:lpstr>
      <vt:lpstr>'DATA SKP'!Print_Area</vt:lpstr>
      <vt:lpstr>'FORM SKP'!Print_Area</vt:lpstr>
      <vt:lpstr>PENGUKURAN!Print_Area</vt:lpstr>
      <vt:lpstr>PENILAIAN!Print_Area</vt:lpstr>
      <vt:lpstr>'PERILAKU KERJA'!Print_Area</vt:lpstr>
      <vt:lpstr>SOURCE!Print_Titles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X250</cp:lastModifiedBy>
  <cp:lastPrinted>2016-12-22T06:47:16Z</cp:lastPrinted>
  <dcterms:created xsi:type="dcterms:W3CDTF">2010-10-07T03:41:24Z</dcterms:created>
  <dcterms:modified xsi:type="dcterms:W3CDTF">2020-07-30T08:14:47Z</dcterms:modified>
</cp:coreProperties>
</file>