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650" tabRatio="714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COVER!$A$1:$J$43</definedName>
    <definedName name="_xlnm.Print_Area" localSheetId="1">'DATA SKP'!$A$1:$E$20</definedName>
    <definedName name="_xlnm.Print_Area" localSheetId="3">'FORM SKP'!$A$1:$K$35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/>
  <c r="B20"/>
  <c r="B19"/>
  <c r="B18"/>
  <c r="B17"/>
  <c r="B16"/>
  <c r="B15"/>
  <c r="B14"/>
  <c r="B13"/>
  <c r="B12"/>
  <c r="B11"/>
  <c r="B10"/>
  <c r="B9"/>
  <c r="J17" l="1"/>
  <c r="J18"/>
  <c r="J19"/>
  <c r="J20"/>
  <c r="J21"/>
  <c r="C10"/>
  <c r="J10" s="1"/>
  <c r="C11"/>
  <c r="J11" s="1"/>
  <c r="C12"/>
  <c r="J12" s="1"/>
  <c r="C13"/>
  <c r="J13" s="1"/>
  <c r="C14"/>
  <c r="J14" s="1"/>
  <c r="C15"/>
  <c r="J15" s="1"/>
  <c r="C16"/>
  <c r="J16" s="1"/>
  <c r="C17"/>
  <c r="C18"/>
  <c r="C19"/>
  <c r="C20"/>
  <c r="C21"/>
  <c r="C9"/>
  <c r="D10" l="1"/>
  <c r="E10"/>
  <c r="L10" s="1"/>
  <c r="F10"/>
  <c r="G10"/>
  <c r="H10"/>
  <c r="D11"/>
  <c r="E11"/>
  <c r="L11" s="1"/>
  <c r="F11"/>
  <c r="G11"/>
  <c r="H11"/>
  <c r="D12"/>
  <c r="E12"/>
  <c r="F12"/>
  <c r="G12"/>
  <c r="N12" s="1"/>
  <c r="H12"/>
  <c r="O12" s="1"/>
  <c r="D13"/>
  <c r="E13"/>
  <c r="F13"/>
  <c r="G13"/>
  <c r="H13"/>
  <c r="D14"/>
  <c r="E14"/>
  <c r="L14" s="1"/>
  <c r="F14"/>
  <c r="G14"/>
  <c r="H14"/>
  <c r="D15"/>
  <c r="E15"/>
  <c r="L15" s="1"/>
  <c r="F15"/>
  <c r="G15"/>
  <c r="H15"/>
  <c r="D16"/>
  <c r="E16"/>
  <c r="F16"/>
  <c r="G16"/>
  <c r="N16" s="1"/>
  <c r="H16"/>
  <c r="O16" s="1"/>
  <c r="D17"/>
  <c r="E17"/>
  <c r="F17"/>
  <c r="G17"/>
  <c r="H17"/>
  <c r="D18"/>
  <c r="E18"/>
  <c r="L18" s="1"/>
  <c r="F18"/>
  <c r="G18"/>
  <c r="H18"/>
  <c r="D19"/>
  <c r="E19"/>
  <c r="L19" s="1"/>
  <c r="F19"/>
  <c r="G19"/>
  <c r="H19"/>
  <c r="D20"/>
  <c r="E20"/>
  <c r="F20"/>
  <c r="G20"/>
  <c r="N20" s="1"/>
  <c r="H20"/>
  <c r="O20" s="1"/>
  <c r="D21"/>
  <c r="E21"/>
  <c r="F21"/>
  <c r="G21"/>
  <c r="H21"/>
  <c r="L12"/>
  <c r="L13"/>
  <c r="L16"/>
  <c r="L17"/>
  <c r="L20"/>
  <c r="L21"/>
  <c r="N10"/>
  <c r="O10"/>
  <c r="N11"/>
  <c r="O11"/>
  <c r="N13"/>
  <c r="O13"/>
  <c r="N14"/>
  <c r="O14"/>
  <c r="N15"/>
  <c r="O15"/>
  <c r="N17"/>
  <c r="O17"/>
  <c r="N18"/>
  <c r="O18"/>
  <c r="N19"/>
  <c r="O19"/>
  <c r="N21"/>
  <c r="O21"/>
  <c r="X10" l="1"/>
  <c r="AE10"/>
  <c r="AF10"/>
  <c r="AB10" s="1"/>
  <c r="X11"/>
  <c r="AE11"/>
  <c r="AF11"/>
  <c r="AB11" s="1"/>
  <c r="X12"/>
  <c r="AB12" s="1"/>
  <c r="AE12"/>
  <c r="AF12"/>
  <c r="W13"/>
  <c r="X13"/>
  <c r="AB13" s="1"/>
  <c r="Y13"/>
  <c r="Z13"/>
  <c r="AC13"/>
  <c r="AD13"/>
  <c r="AA13" s="1"/>
  <c r="AE13"/>
  <c r="AF13"/>
  <c r="W14"/>
  <c r="X14"/>
  <c r="Y14"/>
  <c r="Z14"/>
  <c r="AC14"/>
  <c r="AD14"/>
  <c r="AA14" s="1"/>
  <c r="AE14"/>
  <c r="AF14"/>
  <c r="AB14" s="1"/>
  <c r="W15"/>
  <c r="X15"/>
  <c r="Y15"/>
  <c r="Z15"/>
  <c r="AC15"/>
  <c r="AD15"/>
  <c r="AE15"/>
  <c r="AF15"/>
  <c r="AB15" s="1"/>
  <c r="W16"/>
  <c r="X16"/>
  <c r="AB16" s="1"/>
  <c r="Y16"/>
  <c r="Z16"/>
  <c r="AC16"/>
  <c r="AD16"/>
  <c r="AE16"/>
  <c r="AF16"/>
  <c r="W17"/>
  <c r="X17"/>
  <c r="AB17" s="1"/>
  <c r="Y17"/>
  <c r="Z17"/>
  <c r="AC17"/>
  <c r="AD17"/>
  <c r="AA17" s="1"/>
  <c r="AE17"/>
  <c r="AF17"/>
  <c r="W18"/>
  <c r="X18"/>
  <c r="Y18"/>
  <c r="Z18"/>
  <c r="AC18"/>
  <c r="AD18"/>
  <c r="AA18" s="1"/>
  <c r="AE18"/>
  <c r="AF18"/>
  <c r="AB18" s="1"/>
  <c r="W19"/>
  <c r="X19"/>
  <c r="Y19"/>
  <c r="Z19"/>
  <c r="AC19"/>
  <c r="AD19"/>
  <c r="AE19"/>
  <c r="AF19"/>
  <c r="AB19" s="1"/>
  <c r="W20"/>
  <c r="X20"/>
  <c r="AB20" s="1"/>
  <c r="Y20"/>
  <c r="Z20"/>
  <c r="AC20"/>
  <c r="AD20"/>
  <c r="AE20"/>
  <c r="AF20"/>
  <c r="W21"/>
  <c r="X21"/>
  <c r="AB21" s="1"/>
  <c r="Y21"/>
  <c r="Z21"/>
  <c r="AC21"/>
  <c r="AD21"/>
  <c r="AA21" s="1"/>
  <c r="AE21"/>
  <c r="AF21"/>
  <c r="X9"/>
  <c r="AG21" l="1"/>
  <c r="Q21" s="1"/>
  <c r="R21" s="1"/>
  <c r="AG17"/>
  <c r="Q17" s="1"/>
  <c r="R17" s="1"/>
  <c r="AA20"/>
  <c r="AG13"/>
  <c r="Q13" s="1"/>
  <c r="R13" s="1"/>
  <c r="AA19"/>
  <c r="AA16"/>
  <c r="AG16" s="1"/>
  <c r="Q16" s="1"/>
  <c r="R16" s="1"/>
  <c r="AA15"/>
  <c r="AG15" s="1"/>
  <c r="Q15" s="1"/>
  <c r="R15" s="1"/>
  <c r="AG19"/>
  <c r="Q19" s="1"/>
  <c r="R19" s="1"/>
  <c r="AG18"/>
  <c r="Q18" s="1"/>
  <c r="R18" s="1"/>
  <c r="AG14"/>
  <c r="Q14" s="1"/>
  <c r="R14" s="1"/>
  <c r="AG20"/>
  <c r="Q20" s="1"/>
  <c r="R20" s="1"/>
  <c r="G162" i="11" l="1"/>
  <c r="H162"/>
  <c r="I162"/>
  <c r="J162"/>
  <c r="K162"/>
  <c r="L162"/>
  <c r="M162"/>
  <c r="G163"/>
  <c r="H163"/>
  <c r="I163"/>
  <c r="J163"/>
  <c r="K163"/>
  <c r="L163"/>
  <c r="M163"/>
  <c r="G164"/>
  <c r="H164"/>
  <c r="I164"/>
  <c r="J164"/>
  <c r="K164"/>
  <c r="L164"/>
  <c r="M164"/>
  <c r="C103"/>
  <c r="C37"/>
  <c r="C12"/>
  <c r="D9" i="2" l="1"/>
  <c r="Y9" s="1"/>
  <c r="Y10"/>
  <c r="Y11"/>
  <c r="Y12"/>
  <c r="U13"/>
  <c r="U14"/>
  <c r="U15"/>
  <c r="U16"/>
  <c r="U17"/>
  <c r="U18"/>
  <c r="U19"/>
  <c r="U20"/>
  <c r="U21"/>
  <c r="T10"/>
  <c r="T13"/>
  <c r="T14"/>
  <c r="T15"/>
  <c r="T16"/>
  <c r="T17"/>
  <c r="T18"/>
  <c r="T19"/>
  <c r="T20"/>
  <c r="T21"/>
  <c r="C121" i="11"/>
  <c r="G130"/>
  <c r="H130"/>
  <c r="I130"/>
  <c r="J130"/>
  <c r="K130"/>
  <c r="L130"/>
  <c r="M130"/>
  <c r="J75"/>
  <c r="K75"/>
  <c r="L75"/>
  <c r="M75"/>
  <c r="J76"/>
  <c r="K76"/>
  <c r="L76"/>
  <c r="M76"/>
  <c r="J77"/>
  <c r="K77"/>
  <c r="L77"/>
  <c r="M77"/>
  <c r="J78"/>
  <c r="K78"/>
  <c r="L78"/>
  <c r="M78"/>
  <c r="J79"/>
  <c r="K79"/>
  <c r="L79"/>
  <c r="M79"/>
  <c r="J80"/>
  <c r="K80"/>
  <c r="L80"/>
  <c r="M80"/>
  <c r="J81"/>
  <c r="K81"/>
  <c r="L81"/>
  <c r="M81"/>
  <c r="J82"/>
  <c r="K82"/>
  <c r="L82"/>
  <c r="M82"/>
  <c r="J83"/>
  <c r="K83"/>
  <c r="L83"/>
  <c r="M83"/>
  <c r="J84"/>
  <c r="K84"/>
  <c r="L84"/>
  <c r="M84"/>
  <c r="J85"/>
  <c r="K85"/>
  <c r="L85"/>
  <c r="M85"/>
  <c r="J86"/>
  <c r="K86"/>
  <c r="L86"/>
  <c r="M86"/>
  <c r="J87"/>
  <c r="K87"/>
  <c r="L87"/>
  <c r="M87"/>
  <c r="J88"/>
  <c r="K88"/>
  <c r="L88"/>
  <c r="M88"/>
  <c r="J89"/>
  <c r="K89"/>
  <c r="L89"/>
  <c r="M89"/>
  <c r="J90"/>
  <c r="K90"/>
  <c r="L90"/>
  <c r="M90"/>
  <c r="J91"/>
  <c r="K91"/>
  <c r="L91"/>
  <c r="M91"/>
  <c r="J92"/>
  <c r="K92"/>
  <c r="L92"/>
  <c r="M92"/>
  <c r="J93"/>
  <c r="K93"/>
  <c r="L93"/>
  <c r="M93"/>
  <c r="J94"/>
  <c r="K94"/>
  <c r="L94"/>
  <c r="M94"/>
  <c r="J95"/>
  <c r="K95"/>
  <c r="L95"/>
  <c r="M95"/>
  <c r="J96"/>
  <c r="K96"/>
  <c r="L96"/>
  <c r="M96"/>
  <c r="J97"/>
  <c r="K97"/>
  <c r="L97"/>
  <c r="M97"/>
  <c r="J98"/>
  <c r="K98"/>
  <c r="L98"/>
  <c r="M98"/>
  <c r="J99"/>
  <c r="K99"/>
  <c r="L99"/>
  <c r="M99"/>
  <c r="J100"/>
  <c r="K100"/>
  <c r="L100"/>
  <c r="M100"/>
  <c r="J101"/>
  <c r="K101"/>
  <c r="L101"/>
  <c r="M101"/>
  <c r="J102"/>
  <c r="K102"/>
  <c r="L102"/>
  <c r="M102"/>
  <c r="J103"/>
  <c r="K103"/>
  <c r="L103"/>
  <c r="M103"/>
  <c r="J104"/>
  <c r="K104"/>
  <c r="L104"/>
  <c r="M104"/>
  <c r="J105"/>
  <c r="K105"/>
  <c r="L105"/>
  <c r="M105"/>
  <c r="J106"/>
  <c r="K106"/>
  <c r="L106"/>
  <c r="M106"/>
  <c r="J107"/>
  <c r="K107"/>
  <c r="L107"/>
  <c r="M107"/>
  <c r="J108"/>
  <c r="K108"/>
  <c r="L108"/>
  <c r="M108"/>
  <c r="J109"/>
  <c r="K109"/>
  <c r="L109"/>
  <c r="M109"/>
  <c r="J110"/>
  <c r="K110"/>
  <c r="L110"/>
  <c r="M110"/>
  <c r="J111"/>
  <c r="K111"/>
  <c r="L111"/>
  <c r="M111"/>
  <c r="J112"/>
  <c r="K112"/>
  <c r="L112"/>
  <c r="M112"/>
  <c r="J113"/>
  <c r="K113"/>
  <c r="L113"/>
  <c r="M113"/>
  <c r="J114"/>
  <c r="K114"/>
  <c r="L114"/>
  <c r="M114"/>
  <c r="J115"/>
  <c r="K115"/>
  <c r="L115"/>
  <c r="M115"/>
  <c r="J116"/>
  <c r="K116"/>
  <c r="L116"/>
  <c r="M116"/>
  <c r="J117"/>
  <c r="K117"/>
  <c r="L117"/>
  <c r="M117"/>
  <c r="J118"/>
  <c r="K118"/>
  <c r="L118"/>
  <c r="M118"/>
  <c r="J119"/>
  <c r="K119"/>
  <c r="L119"/>
  <c r="M119"/>
  <c r="J120"/>
  <c r="K120"/>
  <c r="L120"/>
  <c r="M120"/>
  <c r="J121"/>
  <c r="K121"/>
  <c r="L121"/>
  <c r="M121"/>
  <c r="J122"/>
  <c r="K122"/>
  <c r="L122"/>
  <c r="M122"/>
  <c r="J123"/>
  <c r="K123"/>
  <c r="L123"/>
  <c r="M123"/>
  <c r="J124"/>
  <c r="K124"/>
  <c r="L124"/>
  <c r="M124"/>
  <c r="J125"/>
  <c r="K125"/>
  <c r="L125"/>
  <c r="M125"/>
  <c r="J126"/>
  <c r="K126"/>
  <c r="L126"/>
  <c r="M126"/>
  <c r="J127"/>
  <c r="K127"/>
  <c r="L127"/>
  <c r="M127"/>
  <c r="J128"/>
  <c r="K128"/>
  <c r="L128"/>
  <c r="M128"/>
  <c r="J129"/>
  <c r="K129"/>
  <c r="L129"/>
  <c r="M129"/>
  <c r="J131"/>
  <c r="K131"/>
  <c r="L131"/>
  <c r="M131"/>
  <c r="J132"/>
  <c r="K132"/>
  <c r="L132"/>
  <c r="M132"/>
  <c r="J133"/>
  <c r="K133"/>
  <c r="L133"/>
  <c r="M133"/>
  <c r="J134"/>
  <c r="K134"/>
  <c r="L134"/>
  <c r="M134"/>
  <c r="J135"/>
  <c r="K135"/>
  <c r="L135"/>
  <c r="M135"/>
  <c r="J136"/>
  <c r="K136"/>
  <c r="L136"/>
  <c r="M136"/>
  <c r="J137"/>
  <c r="K137"/>
  <c r="L137"/>
  <c r="M137"/>
  <c r="J138"/>
  <c r="K138"/>
  <c r="L138"/>
  <c r="M138"/>
  <c r="J139"/>
  <c r="K139"/>
  <c r="L139"/>
  <c r="M139"/>
  <c r="J140"/>
  <c r="K140"/>
  <c r="L140"/>
  <c r="M140"/>
  <c r="J141"/>
  <c r="K141"/>
  <c r="L141"/>
  <c r="M141"/>
  <c r="J142"/>
  <c r="K142"/>
  <c r="L142"/>
  <c r="M142"/>
  <c r="J143"/>
  <c r="K143"/>
  <c r="L143"/>
  <c r="M143"/>
  <c r="J144"/>
  <c r="K144"/>
  <c r="L144"/>
  <c r="M144"/>
  <c r="J145"/>
  <c r="K145"/>
  <c r="L145"/>
  <c r="M145"/>
  <c r="J146"/>
  <c r="K146"/>
  <c r="L146"/>
  <c r="M146"/>
  <c r="J147"/>
  <c r="K147"/>
  <c r="L147"/>
  <c r="M147"/>
  <c r="J148"/>
  <c r="K148"/>
  <c r="L148"/>
  <c r="M148"/>
  <c r="J149"/>
  <c r="K149"/>
  <c r="L149"/>
  <c r="M149"/>
  <c r="J150"/>
  <c r="K150"/>
  <c r="L150"/>
  <c r="M150"/>
  <c r="J151"/>
  <c r="K151"/>
  <c r="L151"/>
  <c r="M151"/>
  <c r="J152"/>
  <c r="K152"/>
  <c r="L152"/>
  <c r="M152"/>
  <c r="J153"/>
  <c r="K153"/>
  <c r="L153"/>
  <c r="M153"/>
  <c r="J154"/>
  <c r="K154"/>
  <c r="L154"/>
  <c r="M154"/>
  <c r="J155"/>
  <c r="K155"/>
  <c r="L155"/>
  <c r="M155"/>
  <c r="J156"/>
  <c r="K156"/>
  <c r="L156"/>
  <c r="M156"/>
  <c r="J157"/>
  <c r="K157"/>
  <c r="L157"/>
  <c r="M157"/>
  <c r="J158"/>
  <c r="K158"/>
  <c r="L158"/>
  <c r="M158"/>
  <c r="J159"/>
  <c r="K159"/>
  <c r="L159"/>
  <c r="M159"/>
  <c r="J160"/>
  <c r="K160"/>
  <c r="L160"/>
  <c r="M160"/>
  <c r="J161"/>
  <c r="K161"/>
  <c r="L161"/>
  <c r="M161"/>
  <c r="J74"/>
  <c r="J73"/>
  <c r="J72"/>
  <c r="J71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74"/>
  <c r="I7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74"/>
  <c r="H73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74"/>
  <c r="G62"/>
  <c r="G43"/>
  <c r="G42"/>
  <c r="G41"/>
  <c r="G32"/>
  <c r="G21"/>
  <c r="G4"/>
  <c r="G3"/>
  <c r="G2"/>
  <c r="C137"/>
  <c r="K74"/>
  <c r="L74"/>
  <c r="M74"/>
  <c r="C10"/>
  <c r="C25"/>
  <c r="C61"/>
  <c r="C63"/>
  <c r="C141"/>
  <c r="C35"/>
  <c r="C31"/>
  <c r="C62"/>
  <c r="C98"/>
  <c r="C71"/>
  <c r="C39"/>
  <c r="C101"/>
  <c r="C118"/>
  <c r="C104"/>
  <c r="C113"/>
  <c r="C111"/>
  <c r="C21"/>
  <c r="C105"/>
  <c r="C97"/>
  <c r="C3"/>
  <c r="C145"/>
  <c r="C20"/>
  <c r="C70"/>
  <c r="C142"/>
  <c r="C77"/>
  <c r="C57"/>
  <c r="C96"/>
  <c r="C17"/>
  <c r="C161"/>
  <c r="E26" i="1"/>
  <c r="J9" i="2"/>
  <c r="C136" i="11"/>
  <c r="H19" i="3"/>
  <c r="H18"/>
  <c r="A21" i="2"/>
  <c r="A20"/>
  <c r="A13"/>
  <c r="A14"/>
  <c r="A15"/>
  <c r="A16"/>
  <c r="A17"/>
  <c r="A18"/>
  <c r="A19"/>
  <c r="T30"/>
  <c r="AL20"/>
  <c r="E9"/>
  <c r="L9" s="1"/>
  <c r="F9"/>
  <c r="Z9" s="1"/>
  <c r="G9"/>
  <c r="H9"/>
  <c r="O9" s="1"/>
  <c r="Z10"/>
  <c r="W10"/>
  <c r="Z11"/>
  <c r="Z12"/>
  <c r="W12"/>
  <c r="C5" i="11"/>
  <c r="AK20" i="2"/>
  <c r="AM20" s="1"/>
  <c r="AL15"/>
  <c r="AL16"/>
  <c r="AL17"/>
  <c r="AL18"/>
  <c r="AL19"/>
  <c r="AL13"/>
  <c r="AK15"/>
  <c r="AM15" s="1"/>
  <c r="AK17"/>
  <c r="AM17" s="1"/>
  <c r="A12"/>
  <c r="F18" i="10"/>
  <c r="AN20" i="2"/>
  <c r="AN17"/>
  <c r="AL21"/>
  <c r="AK13"/>
  <c r="AN13" s="1"/>
  <c r="AK16"/>
  <c r="AN16" s="1"/>
  <c r="AK19"/>
  <c r="AN19" s="1"/>
  <c r="AK18"/>
  <c r="AK21"/>
  <c r="AN21" s="1"/>
  <c r="J6" i="11"/>
  <c r="K6"/>
  <c r="L6"/>
  <c r="M6"/>
  <c r="J16"/>
  <c r="K16"/>
  <c r="L16"/>
  <c r="M16"/>
  <c r="J21"/>
  <c r="K21"/>
  <c r="L21"/>
  <c r="M21"/>
  <c r="J25"/>
  <c r="K25"/>
  <c r="L25"/>
  <c r="M25"/>
  <c r="J26"/>
  <c r="K26"/>
  <c r="L26"/>
  <c r="M26"/>
  <c r="J27"/>
  <c r="K27"/>
  <c r="L27"/>
  <c r="M27"/>
  <c r="J30"/>
  <c r="K30"/>
  <c r="L30"/>
  <c r="M30"/>
  <c r="J33"/>
  <c r="K33"/>
  <c r="L33"/>
  <c r="M33"/>
  <c r="J40"/>
  <c r="K40"/>
  <c r="L40"/>
  <c r="M40"/>
  <c r="J46"/>
  <c r="K46"/>
  <c r="L46"/>
  <c r="M46"/>
  <c r="J53"/>
  <c r="K53"/>
  <c r="L53"/>
  <c r="M53"/>
  <c r="J56"/>
  <c r="K56"/>
  <c r="L56"/>
  <c r="M56"/>
  <c r="J60"/>
  <c r="K60"/>
  <c r="L60"/>
  <c r="M60"/>
  <c r="J61"/>
  <c r="K61"/>
  <c r="L61"/>
  <c r="M61"/>
  <c r="J65"/>
  <c r="K65"/>
  <c r="L65"/>
  <c r="M65"/>
  <c r="J66"/>
  <c r="K66"/>
  <c r="L66"/>
  <c r="M66"/>
  <c r="J67"/>
  <c r="K67"/>
  <c r="L67"/>
  <c r="M67"/>
  <c r="J68"/>
  <c r="K68"/>
  <c r="L68"/>
  <c r="M68"/>
  <c r="J5"/>
  <c r="K5"/>
  <c r="L5"/>
  <c r="M5"/>
  <c r="J7"/>
  <c r="K7"/>
  <c r="L7"/>
  <c r="M7"/>
  <c r="J14"/>
  <c r="K14"/>
  <c r="L14"/>
  <c r="M14"/>
  <c r="J23"/>
  <c r="K23"/>
  <c r="L23"/>
  <c r="M23"/>
  <c r="J29"/>
  <c r="K29"/>
  <c r="L29"/>
  <c r="M29"/>
  <c r="J36"/>
  <c r="K36"/>
  <c r="L36"/>
  <c r="M36"/>
  <c r="J42"/>
  <c r="K42"/>
  <c r="L42"/>
  <c r="M42"/>
  <c r="J43"/>
  <c r="K43"/>
  <c r="L43"/>
  <c r="M43"/>
  <c r="J45"/>
  <c r="K45"/>
  <c r="L45"/>
  <c r="M45"/>
  <c r="J51"/>
  <c r="K51"/>
  <c r="L51"/>
  <c r="M51"/>
  <c r="J34"/>
  <c r="K34"/>
  <c r="L34"/>
  <c r="M34"/>
  <c r="J59"/>
  <c r="K59"/>
  <c r="L59"/>
  <c r="M59"/>
  <c r="J69"/>
  <c r="K69"/>
  <c r="L69"/>
  <c r="M69"/>
  <c r="J70"/>
  <c r="K70"/>
  <c r="L70"/>
  <c r="M70"/>
  <c r="K72"/>
  <c r="L72"/>
  <c r="M72"/>
  <c r="K73"/>
  <c r="L73"/>
  <c r="M73"/>
  <c r="J35"/>
  <c r="K35"/>
  <c r="L35"/>
  <c r="M35"/>
  <c r="J3"/>
  <c r="K3"/>
  <c r="L3"/>
  <c r="M3"/>
  <c r="J4"/>
  <c r="K4"/>
  <c r="L4"/>
  <c r="M4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5"/>
  <c r="K15"/>
  <c r="L15"/>
  <c r="M15"/>
  <c r="J17"/>
  <c r="K17"/>
  <c r="L17"/>
  <c r="M17"/>
  <c r="J18"/>
  <c r="K18"/>
  <c r="L18"/>
  <c r="M18"/>
  <c r="J19"/>
  <c r="K19"/>
  <c r="L19"/>
  <c r="M19"/>
  <c r="J20"/>
  <c r="K20"/>
  <c r="L20"/>
  <c r="M20"/>
  <c r="J22"/>
  <c r="K22"/>
  <c r="L22"/>
  <c r="M22"/>
  <c r="J24"/>
  <c r="K24"/>
  <c r="L24"/>
  <c r="M24"/>
  <c r="J32"/>
  <c r="K32"/>
  <c r="L32"/>
  <c r="M32"/>
  <c r="J28"/>
  <c r="K28"/>
  <c r="L28"/>
  <c r="M28"/>
  <c r="J31"/>
  <c r="K31"/>
  <c r="L31"/>
  <c r="M31"/>
  <c r="J38"/>
  <c r="K38"/>
  <c r="L38"/>
  <c r="M38"/>
  <c r="J39"/>
  <c r="K39"/>
  <c r="L39"/>
  <c r="M39"/>
  <c r="J41"/>
  <c r="K41"/>
  <c r="E17" i="9" s="1"/>
  <c r="G27" i="4" s="1"/>
  <c r="H112" s="1"/>
  <c r="L41" i="11"/>
  <c r="M41"/>
  <c r="J44"/>
  <c r="K44"/>
  <c r="L44"/>
  <c r="M44"/>
  <c r="J47"/>
  <c r="K47"/>
  <c r="L47"/>
  <c r="M47"/>
  <c r="J48"/>
  <c r="K48"/>
  <c r="L48"/>
  <c r="M48"/>
  <c r="J49"/>
  <c r="K49"/>
  <c r="L49"/>
  <c r="M49"/>
  <c r="J50"/>
  <c r="K50"/>
  <c r="L50"/>
  <c r="M50"/>
  <c r="J52"/>
  <c r="K52"/>
  <c r="L52"/>
  <c r="M52"/>
  <c r="J55"/>
  <c r="K55"/>
  <c r="L55"/>
  <c r="M55"/>
  <c r="J57"/>
  <c r="K57"/>
  <c r="L57"/>
  <c r="M57"/>
  <c r="J58"/>
  <c r="K58"/>
  <c r="L58"/>
  <c r="M58"/>
  <c r="J62"/>
  <c r="K62"/>
  <c r="L62"/>
  <c r="M62"/>
  <c r="J63"/>
  <c r="K63"/>
  <c r="L63"/>
  <c r="M63"/>
  <c r="J64"/>
  <c r="K64"/>
  <c r="L64"/>
  <c r="M64"/>
  <c r="K71"/>
  <c r="L71"/>
  <c r="M71"/>
  <c r="J54"/>
  <c r="K54"/>
  <c r="L54"/>
  <c r="M54"/>
  <c r="J37"/>
  <c r="K37"/>
  <c r="L37"/>
  <c r="M37"/>
  <c r="M2"/>
  <c r="L2"/>
  <c r="K2"/>
  <c r="J2"/>
  <c r="H6"/>
  <c r="I6"/>
  <c r="H16"/>
  <c r="I16"/>
  <c r="H21"/>
  <c r="I21"/>
  <c r="H25"/>
  <c r="I25"/>
  <c r="H26"/>
  <c r="I26"/>
  <c r="H27"/>
  <c r="I27"/>
  <c r="H30"/>
  <c r="I30"/>
  <c r="H33"/>
  <c r="I33"/>
  <c r="H40"/>
  <c r="I40"/>
  <c r="H46"/>
  <c r="I46"/>
  <c r="H53"/>
  <c r="I53"/>
  <c r="H56"/>
  <c r="I56"/>
  <c r="H60"/>
  <c r="I60"/>
  <c r="H61"/>
  <c r="I61"/>
  <c r="H65"/>
  <c r="I65"/>
  <c r="H66"/>
  <c r="I66"/>
  <c r="H67"/>
  <c r="I67"/>
  <c r="H68"/>
  <c r="I68"/>
  <c r="H5"/>
  <c r="I5"/>
  <c r="H7"/>
  <c r="I7"/>
  <c r="H14"/>
  <c r="I14"/>
  <c r="H23"/>
  <c r="I23"/>
  <c r="H29"/>
  <c r="I29"/>
  <c r="H36"/>
  <c r="I36"/>
  <c r="H42"/>
  <c r="I42"/>
  <c r="H43"/>
  <c r="I43"/>
  <c r="H45"/>
  <c r="I45"/>
  <c r="H51"/>
  <c r="I51"/>
  <c r="H34"/>
  <c r="I34"/>
  <c r="H59"/>
  <c r="I59"/>
  <c r="H69"/>
  <c r="I69"/>
  <c r="H70"/>
  <c r="I70"/>
  <c r="H72"/>
  <c r="I72"/>
  <c r="H35"/>
  <c r="I35"/>
  <c r="H3"/>
  <c r="I3"/>
  <c r="H4"/>
  <c r="I4"/>
  <c r="H8"/>
  <c r="I8"/>
  <c r="H9"/>
  <c r="I9"/>
  <c r="H10"/>
  <c r="I10"/>
  <c r="H11"/>
  <c r="I11"/>
  <c r="H12"/>
  <c r="I12"/>
  <c r="H13"/>
  <c r="I13"/>
  <c r="H15"/>
  <c r="I15"/>
  <c r="H17"/>
  <c r="I17"/>
  <c r="H18"/>
  <c r="I18"/>
  <c r="H19"/>
  <c r="I19"/>
  <c r="H20"/>
  <c r="I20"/>
  <c r="H22"/>
  <c r="I22"/>
  <c r="H24"/>
  <c r="I24"/>
  <c r="H32"/>
  <c r="I32"/>
  <c r="H28"/>
  <c r="I28"/>
  <c r="H31"/>
  <c r="I31"/>
  <c r="H38"/>
  <c r="I38"/>
  <c r="H39"/>
  <c r="I39"/>
  <c r="H41"/>
  <c r="I41"/>
  <c r="H44"/>
  <c r="I44"/>
  <c r="H47"/>
  <c r="I47"/>
  <c r="H48"/>
  <c r="I48"/>
  <c r="H49"/>
  <c r="I49"/>
  <c r="H50"/>
  <c r="I50"/>
  <c r="H52"/>
  <c r="I52"/>
  <c r="H55"/>
  <c r="I55"/>
  <c r="H57"/>
  <c r="I57"/>
  <c r="H58"/>
  <c r="I58"/>
  <c r="H62"/>
  <c r="I62"/>
  <c r="H63"/>
  <c r="I63"/>
  <c r="H64"/>
  <c r="I64"/>
  <c r="H71"/>
  <c r="I71"/>
  <c r="H54"/>
  <c r="I54"/>
  <c r="H37"/>
  <c r="I37"/>
  <c r="H2"/>
  <c r="I2"/>
  <c r="G6"/>
  <c r="G16"/>
  <c r="G25"/>
  <c r="G26"/>
  <c r="G27"/>
  <c r="G30"/>
  <c r="G33"/>
  <c r="G40"/>
  <c r="G46"/>
  <c r="G53"/>
  <c r="G56"/>
  <c r="G60"/>
  <c r="G61"/>
  <c r="G65"/>
  <c r="G66"/>
  <c r="G67"/>
  <c r="G68"/>
  <c r="G5"/>
  <c r="G7"/>
  <c r="G14"/>
  <c r="G23"/>
  <c r="G29"/>
  <c r="G36"/>
  <c r="G45"/>
  <c r="G51"/>
  <c r="G34"/>
  <c r="G59"/>
  <c r="G69"/>
  <c r="G70"/>
  <c r="G72"/>
  <c r="G73"/>
  <c r="G35"/>
  <c r="G8"/>
  <c r="G9"/>
  <c r="G10"/>
  <c r="G11"/>
  <c r="G12"/>
  <c r="G13"/>
  <c r="G15"/>
  <c r="G17"/>
  <c r="G18"/>
  <c r="G19"/>
  <c r="G20"/>
  <c r="G22"/>
  <c r="G24"/>
  <c r="G28"/>
  <c r="G31"/>
  <c r="G38"/>
  <c r="G39"/>
  <c r="G44"/>
  <c r="G47"/>
  <c r="G48"/>
  <c r="G49"/>
  <c r="G50"/>
  <c r="G52"/>
  <c r="G55"/>
  <c r="G57"/>
  <c r="G58"/>
  <c r="G63"/>
  <c r="G64"/>
  <c r="G71"/>
  <c r="G54"/>
  <c r="G37"/>
  <c r="AN18" i="2"/>
  <c r="AM18"/>
  <c r="AO18" s="1"/>
  <c r="AM21"/>
  <c r="E10" i="9"/>
  <c r="C5" i="1" s="1"/>
  <c r="E5" i="9"/>
  <c r="H6" i="1" s="1"/>
  <c r="D4" i="3" s="1"/>
  <c r="I73" i="4"/>
  <c r="I63"/>
  <c r="E7" i="9"/>
  <c r="H8" i="1" s="1"/>
  <c r="G17" i="4" s="1"/>
  <c r="E19" i="9"/>
  <c r="G29" i="4" s="1"/>
  <c r="E18" i="9"/>
  <c r="G28" i="4" s="1"/>
  <c r="E16" i="9"/>
  <c r="G26" i="4" s="1"/>
  <c r="H111" s="1"/>
  <c r="E11" i="9"/>
  <c r="G21" i="4" s="1"/>
  <c r="H93" s="1"/>
  <c r="E13" i="9"/>
  <c r="C8" i="1" s="1"/>
  <c r="G23" i="4" s="1"/>
  <c r="E12" i="9"/>
  <c r="C7" i="1" s="1"/>
  <c r="G22" i="4" s="1"/>
  <c r="C149" i="11"/>
  <c r="C54"/>
  <c r="C164"/>
  <c r="C163"/>
  <c r="C162"/>
  <c r="C160"/>
  <c r="C159"/>
  <c r="C158"/>
  <c r="C157"/>
  <c r="C156"/>
  <c r="C155"/>
  <c r="C154"/>
  <c r="C153"/>
  <c r="C152"/>
  <c r="C151"/>
  <c r="C150"/>
  <c r="C148"/>
  <c r="C147"/>
  <c r="C146"/>
  <c r="C144"/>
  <c r="C143"/>
  <c r="C140"/>
  <c r="C139"/>
  <c r="C138"/>
  <c r="C134"/>
  <c r="C133"/>
  <c r="C135"/>
  <c r="C132"/>
  <c r="C131"/>
  <c r="C53"/>
  <c r="C130"/>
  <c r="C129"/>
  <c r="C128"/>
  <c r="C127"/>
  <c r="C126"/>
  <c r="C125"/>
  <c r="C124"/>
  <c r="C123"/>
  <c r="C122"/>
  <c r="C120"/>
  <c r="C119"/>
  <c r="C117"/>
  <c r="C116"/>
  <c r="C115"/>
  <c r="C114"/>
  <c r="C46"/>
  <c r="C52"/>
  <c r="C112"/>
  <c r="C110"/>
  <c r="C109"/>
  <c r="C108"/>
  <c r="C51"/>
  <c r="C107"/>
  <c r="C106"/>
  <c r="C102"/>
  <c r="C100"/>
  <c r="C99"/>
  <c r="C95"/>
  <c r="C49"/>
  <c r="C94"/>
  <c r="C75"/>
  <c r="C93"/>
  <c r="C92"/>
  <c r="C91"/>
  <c r="C90"/>
  <c r="C89"/>
  <c r="C88"/>
  <c r="C87"/>
  <c r="C86"/>
  <c r="C85"/>
  <c r="C84"/>
  <c r="C83"/>
  <c r="C82"/>
  <c r="C81"/>
  <c r="C80"/>
  <c r="C48"/>
  <c r="C45"/>
  <c r="C79"/>
  <c r="C78"/>
  <c r="C76"/>
  <c r="C74"/>
  <c r="C73"/>
  <c r="C72"/>
  <c r="C69"/>
  <c r="C68"/>
  <c r="C67"/>
  <c r="C66"/>
  <c r="C65"/>
  <c r="C64"/>
  <c r="C60"/>
  <c r="C59"/>
  <c r="C58"/>
  <c r="C56"/>
  <c r="C55"/>
  <c r="C47"/>
  <c r="C50"/>
  <c r="C44"/>
  <c r="C41"/>
  <c r="C40"/>
  <c r="C38"/>
  <c r="C36"/>
  <c r="C43"/>
  <c r="C34"/>
  <c r="C42"/>
  <c r="C33"/>
  <c r="C32"/>
  <c r="C30"/>
  <c r="C29"/>
  <c r="C28"/>
  <c r="C27"/>
  <c r="C26"/>
  <c r="C24"/>
  <c r="C23"/>
  <c r="C22"/>
  <c r="C19"/>
  <c r="C18"/>
  <c r="C16"/>
  <c r="C15"/>
  <c r="C14"/>
  <c r="C13"/>
  <c r="C11"/>
  <c r="C9"/>
  <c r="C8"/>
  <c r="C7"/>
  <c r="C6"/>
  <c r="C4"/>
  <c r="C2"/>
  <c r="E6" i="9"/>
  <c r="H7" i="1" s="1"/>
  <c r="G16" i="4" s="1"/>
  <c r="H9" i="1"/>
  <c r="G18" i="4"/>
  <c r="A10" i="2"/>
  <c r="A11"/>
  <c r="A9"/>
  <c r="AK12"/>
  <c r="AN12" s="1"/>
  <c r="AK14"/>
  <c r="AM14" s="1"/>
  <c r="AN14"/>
  <c r="H34" i="4"/>
  <c r="H37"/>
  <c r="H36"/>
  <c r="G30"/>
  <c r="AB9" i="2"/>
  <c r="A11" i="4"/>
  <c r="I11"/>
  <c r="H5" i="1"/>
  <c r="G14" i="4" s="1"/>
  <c r="B102" s="1"/>
  <c r="C9" i="1"/>
  <c r="G24" i="4"/>
  <c r="B9" i="3"/>
  <c r="F22" i="10"/>
  <c r="H35" i="4"/>
  <c r="H38"/>
  <c r="I40"/>
  <c r="I16" i="3"/>
  <c r="I38" i="4"/>
  <c r="I15" i="3"/>
  <c r="I37" i="4"/>
  <c r="I14" i="3"/>
  <c r="I36" i="4"/>
  <c r="I13" i="3"/>
  <c r="I35" i="4"/>
  <c r="I12" i="3"/>
  <c r="I34" i="4"/>
  <c r="F34"/>
  <c r="F35"/>
  <c r="F36"/>
  <c r="F37"/>
  <c r="F38"/>
  <c r="AE9" i="2"/>
  <c r="AL9"/>
  <c r="AF9"/>
  <c r="AL11"/>
  <c r="AL14"/>
  <c r="AL10"/>
  <c r="AL12"/>
  <c r="H41" i="4"/>
  <c r="H42"/>
  <c r="J42"/>
  <c r="I19" i="3"/>
  <c r="I41" i="4"/>
  <c r="H40"/>
  <c r="G31" i="1" l="1"/>
  <c r="AM12" i="2"/>
  <c r="AO14"/>
  <c r="T9"/>
  <c r="AM13"/>
  <c r="AO13" s="1"/>
  <c r="AO21"/>
  <c r="AM16"/>
  <c r="AO16" s="1"/>
  <c r="AO17"/>
  <c r="AO20"/>
  <c r="AM19"/>
  <c r="AO19" s="1"/>
  <c r="AN15"/>
  <c r="AO15" s="1"/>
  <c r="D3" i="3"/>
  <c r="AO12" i="2"/>
  <c r="T11"/>
  <c r="W11"/>
  <c r="AK11"/>
  <c r="AK10"/>
  <c r="AC10"/>
  <c r="AD10"/>
  <c r="AA10" s="1"/>
  <c r="AG10" s="1"/>
  <c r="AC11"/>
  <c r="AD11"/>
  <c r="AC12"/>
  <c r="AD12"/>
  <c r="N9"/>
  <c r="AD9" s="1"/>
  <c r="T12"/>
  <c r="C6" i="1"/>
  <c r="A32" s="1"/>
  <c r="M33" i="2" s="1"/>
  <c r="F19" i="10"/>
  <c r="J12" i="3"/>
  <c r="F20" i="10"/>
  <c r="A31" i="1"/>
  <c r="M32" i="2" s="1"/>
  <c r="G20" i="4"/>
  <c r="H92" s="1"/>
  <c r="J16" i="3"/>
  <c r="G15" i="4"/>
  <c r="B103" s="1"/>
  <c r="G32" i="1"/>
  <c r="F21" i="10"/>
  <c r="T25" i="2" l="1"/>
  <c r="Q10"/>
  <c r="R10" s="1"/>
  <c r="U10" s="1"/>
  <c r="AA12"/>
  <c r="AG12" s="1"/>
  <c r="AN10"/>
  <c r="AM10"/>
  <c r="W9"/>
  <c r="AK9"/>
  <c r="AC9"/>
  <c r="AM11"/>
  <c r="AN11"/>
  <c r="AA11"/>
  <c r="AG11" s="1"/>
  <c r="J17" i="3"/>
  <c r="AA9" i="2" l="1"/>
  <c r="AG9" s="1"/>
  <c r="Q11"/>
  <c r="R11" s="1"/>
  <c r="U11" s="1"/>
  <c r="Q12"/>
  <c r="R12" s="1"/>
  <c r="U12" s="1"/>
  <c r="AO10"/>
  <c r="AO11"/>
  <c r="AN9"/>
  <c r="AM9"/>
  <c r="Q9" l="1"/>
  <c r="R9" s="1"/>
  <c r="U9" s="1"/>
  <c r="R25" s="1"/>
  <c r="AO9"/>
  <c r="R26" l="1"/>
  <c r="E10" i="3"/>
  <c r="H32" i="4" s="1"/>
  <c r="J32" s="1"/>
  <c r="J43" s="1"/>
  <c r="J44" s="1"/>
</calcChain>
</file>

<file path=xl/sharedStrings.xml><?xml version="1.0" encoding="utf-8"?>
<sst xmlns="http://schemas.openxmlformats.org/spreadsheetml/2006/main" count="1216" uniqueCount="520">
  <si>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</si>
  <si>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</si>
  <si>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</si>
  <si>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</si>
  <si>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</si>
  <si>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</si>
  <si>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</si>
  <si>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</si>
  <si>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</si>
  <si>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</si>
  <si>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</si>
  <si>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</si>
  <si>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</si>
  <si>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</si>
  <si>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</si>
  <si>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</si>
  <si>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</si>
  <si>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</si>
  <si>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</si>
  <si>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</si>
  <si>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</si>
  <si>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</si>
  <si>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</si>
  <si>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</si>
  <si>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</si>
  <si>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</si>
  <si>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</si>
  <si>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</si>
  <si>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</si>
  <si>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</si>
  <si>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</si>
  <si>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</si>
  <si>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</si>
  <si>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</si>
  <si>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</si>
  <si>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</si>
  <si>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</si>
  <si>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</si>
  <si>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</si>
  <si>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</si>
  <si>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</si>
  <si>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</si>
  <si>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</si>
  <si>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</si>
  <si>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</si>
  <si>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</si>
  <si>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</si>
  <si>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</si>
  <si>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</si>
  <si>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</si>
  <si>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</si>
  <si>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</si>
  <si>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=</t>
  </si>
  <si>
    <t>Jumlah</t>
  </si>
  <si>
    <t>Nilai Rata-rata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</si>
  <si>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</si>
  <si>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</si>
  <si>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</si>
  <si>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</si>
  <si>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</si>
  <si>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</si>
  <si>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</si>
  <si>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</si>
  <si>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</si>
  <si>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</si>
  <si>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</si>
  <si>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</si>
  <si>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</si>
  <si>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</si>
  <si>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</si>
  <si>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</si>
  <si>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</si>
  <si>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</si>
  <si>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</si>
  <si>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</si>
  <si>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</si>
  <si>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</si>
  <si>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</si>
  <si>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</si>
  <si>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</si>
  <si>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</si>
  <si>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</si>
  <si>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</si>
  <si>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</si>
  <si>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</si>
  <si>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</si>
  <si>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</si>
  <si>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</si>
  <si>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</si>
  <si>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</si>
  <si>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</si>
  <si>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</si>
  <si>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</si>
  <si>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</si>
  <si>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</si>
  <si>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</si>
  <si>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</si>
  <si>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</si>
  <si>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</si>
  <si>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</si>
  <si>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</si>
  <si>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</si>
  <si>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</si>
  <si>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</si>
  <si>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</si>
  <si>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</si>
  <si>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</si>
  <si>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</si>
  <si>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</si>
  <si>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</si>
  <si>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</si>
  <si>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</si>
  <si>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</si>
  <si>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</si>
  <si>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</si>
  <si>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</si>
  <si>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</si>
  <si>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</si>
  <si>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III/b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</si>
  <si>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</si>
  <si>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</si>
  <si>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</si>
  <si>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</si>
  <si>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</si>
  <si>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</si>
  <si>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</si>
  <si>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</si>
  <si>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</si>
  <si>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Purwo Darminto, SH.</t>
  </si>
  <si>
    <t>197307122000121001</t>
  </si>
  <si>
    <t>IV/a</t>
  </si>
  <si>
    <t>Kepala Bagian Akademik dan PSI</t>
  </si>
  <si>
    <t>197208121995011001</t>
  </si>
  <si>
    <t xml:space="preserve">Lektor </t>
  </si>
  <si>
    <t>Adhi Setiawan, ST., MT.</t>
  </si>
  <si>
    <t>198702242014041001</t>
  </si>
  <si>
    <t>Dosen</t>
  </si>
  <si>
    <t>Adi Wirawan Husodo, ST., MT.</t>
  </si>
  <si>
    <t>197502201999031001</t>
  </si>
  <si>
    <t>Wakil Direktur I</t>
  </si>
  <si>
    <t>Adianto, ST., MT.</t>
  </si>
  <si>
    <t>197707022010121001</t>
  </si>
  <si>
    <t>Asisten Ahli</t>
  </si>
  <si>
    <t>198309152015042001</t>
  </si>
  <si>
    <t>198712032015041004</t>
  </si>
  <si>
    <t>Agung Nugroho, ST., MT.</t>
  </si>
  <si>
    <t>197805282005011001</t>
  </si>
  <si>
    <t>Agung Purwana, ST., MT.</t>
  </si>
  <si>
    <t>197611252005011003</t>
  </si>
  <si>
    <t>Ahmad Erlan Afiuddin, ST., MT.</t>
  </si>
  <si>
    <t>198904282014041001</t>
  </si>
  <si>
    <t>Ali Imron AS, ST., MT.</t>
  </si>
  <si>
    <t>196004021988031002</t>
  </si>
  <si>
    <t>Anda Iviana Juniani, ST., MT.</t>
  </si>
  <si>
    <t>197906202003122001</t>
  </si>
  <si>
    <t>Lektor</t>
  </si>
  <si>
    <t>Annas Singgih Setiyoko, ST., MT.</t>
  </si>
  <si>
    <t>197106131999101001</t>
  </si>
  <si>
    <t>Arief Subekti, ST., M.MT.</t>
  </si>
  <si>
    <t>196104151988031003</t>
  </si>
  <si>
    <t>Bachtiar, ST., MT.</t>
  </si>
  <si>
    <t>197012041995011001</t>
  </si>
  <si>
    <t>Bambang Antoko, ST., MT.</t>
  </si>
  <si>
    <t>196310261988031001</t>
  </si>
  <si>
    <t>Lektor Kepala</t>
  </si>
  <si>
    <t>Bayu Wiro Karuniawan, ST., MT.</t>
  </si>
  <si>
    <t>197907032014041001</t>
  </si>
  <si>
    <t>Binti Mualifatul Rosydah, S.Si., M.Si.</t>
  </si>
  <si>
    <t>198307192008122003</t>
  </si>
  <si>
    <t>Budi Prasojo, ST., MT.</t>
  </si>
  <si>
    <t>196807011998021001</t>
  </si>
  <si>
    <t>Budianto, ST., MT.</t>
  </si>
  <si>
    <t>198209022010121003</t>
  </si>
  <si>
    <t>197909112014041001</t>
  </si>
  <si>
    <t>Catur Rakhmad Handoko, ST., MT.</t>
  </si>
  <si>
    <t>197302252000031002</t>
  </si>
  <si>
    <t>Denny Dermawan, ST., MT.</t>
  </si>
  <si>
    <t>197604082009121001</t>
  </si>
  <si>
    <t>Denny Oktavina Radianto, S.Pd., M.Pd.</t>
  </si>
  <si>
    <t>198310112014041001</t>
  </si>
  <si>
    <t>197512102003122001</t>
  </si>
  <si>
    <t>Devina Puspita Sari, ST., MT.</t>
  </si>
  <si>
    <t>198809152014042003</t>
  </si>
  <si>
    <t>198303162009122001</t>
  </si>
  <si>
    <t>Dian Asa Utari, S.S., M.Pd.</t>
  </si>
  <si>
    <t>198604282015042002</t>
  </si>
  <si>
    <t>Didik Sukoco, ST., MT.</t>
  </si>
  <si>
    <t>196902051995121001</t>
  </si>
  <si>
    <t>198505182014042003</t>
  </si>
  <si>
    <t>198405272015042002</t>
  </si>
  <si>
    <t>Dr. Eng. I. Putu Sindhu Asmara, ST., MT.</t>
  </si>
  <si>
    <t>197004091995011001</t>
  </si>
  <si>
    <t xml:space="preserve">Lektor Kepala </t>
  </si>
  <si>
    <t>Dr. Mat Syai'in, ST., MT.</t>
  </si>
  <si>
    <t>197711142008121002</t>
  </si>
  <si>
    <t>197208051997021001</t>
  </si>
  <si>
    <t>Dra. Daisy Dwijati Kumala Ratna Antariksih, M.Pd.</t>
  </si>
  <si>
    <t>196112011991032001</t>
  </si>
  <si>
    <t>Dra. Endang Pudji Purwanti, MT.</t>
  </si>
  <si>
    <t>196609201992032001</t>
  </si>
  <si>
    <t>IV/b</t>
  </si>
  <si>
    <t>Edi Haryono, ST., MT.</t>
  </si>
  <si>
    <t>197807112003121001</t>
  </si>
  <si>
    <t>Edy Prasetyo Hidayat, ST., MT.</t>
  </si>
  <si>
    <t>196010011988031003</t>
  </si>
  <si>
    <t>Edy Setiawan, ST., MT.</t>
  </si>
  <si>
    <t>197905112005011003</t>
  </si>
  <si>
    <t>Fais Hamzah, ST., MT.</t>
  </si>
  <si>
    <t>196005171988031003</t>
  </si>
  <si>
    <t>Farizi Rachman, S.Si., M.Si.</t>
  </si>
  <si>
    <t>199003292015041002</t>
  </si>
  <si>
    <t>198807082015041001</t>
  </si>
  <si>
    <t>199004192015042001</t>
  </si>
  <si>
    <t>Galih Anindita, ST., MT.</t>
  </si>
  <si>
    <t>198107272005012001</t>
  </si>
  <si>
    <t>George Endri Kusuma, ST., MSc.Eng.</t>
  </si>
  <si>
    <t>197605172009121003</t>
  </si>
  <si>
    <t>196907131995011001</t>
  </si>
  <si>
    <t>Heroe Poernomo, ST., MT.</t>
  </si>
  <si>
    <t>197804202002121003</t>
  </si>
  <si>
    <t>197306101999031002</t>
  </si>
  <si>
    <t>198006162015042001</t>
  </si>
  <si>
    <t>198806022015041002</t>
  </si>
  <si>
    <t>Imam Mahfudzi, S.Ag., M.Fil.I.</t>
  </si>
  <si>
    <t>197701132010121001</t>
  </si>
  <si>
    <t>197501162000121001</t>
  </si>
  <si>
    <t>197901252003122001</t>
  </si>
  <si>
    <t>Ir. Achmad Syahid, MT.</t>
  </si>
  <si>
    <t>195503041980031002</t>
  </si>
  <si>
    <t>Ir. Arie Indartono, M.MT.</t>
  </si>
  <si>
    <t>196601151991031003</t>
  </si>
  <si>
    <t>Ir. Bambang Teguh Setiawan, MT.</t>
  </si>
  <si>
    <t>195802261987011001</t>
  </si>
  <si>
    <t>Ir. Boedi Herijono, MT.</t>
  </si>
  <si>
    <t>196107171987011001</t>
  </si>
  <si>
    <t>196501231991031002</t>
  </si>
  <si>
    <t>Direktur</t>
  </si>
  <si>
    <t>Ir. Emie Santoso, MT.</t>
  </si>
  <si>
    <t>196611101994032003</t>
  </si>
  <si>
    <t>Ir. Endah Wismawati, MT.</t>
  </si>
  <si>
    <t>196011021988122001</t>
  </si>
  <si>
    <t>Ir. Gaguk Suhardjito, M.M.</t>
  </si>
  <si>
    <t>196101141987011001</t>
  </si>
  <si>
    <t>Ir. Hariyanto Soeroso, MT.</t>
  </si>
  <si>
    <t>195709201987011001</t>
  </si>
  <si>
    <t>Ir. Heru Lumaksono, MT.</t>
  </si>
  <si>
    <t>195706251987011001</t>
  </si>
  <si>
    <t>Ir. Irma Rustini Aju, MT.</t>
  </si>
  <si>
    <t>197010141995122001</t>
  </si>
  <si>
    <t>Ir. Joessianto Eko Poetro, MT.</t>
  </si>
  <si>
    <t>196411191994031002</t>
  </si>
  <si>
    <t>Ir. Joko Endrasmono, MT.</t>
  </si>
  <si>
    <t>196409091992011001</t>
  </si>
  <si>
    <t>195612201984031001</t>
  </si>
  <si>
    <t>IV/c</t>
  </si>
  <si>
    <t>Ir. Ratna Budiawati, MA.</t>
  </si>
  <si>
    <t>196104031989102001</t>
  </si>
  <si>
    <t>196611251992032002</t>
  </si>
  <si>
    <t>Lektor  Kepala</t>
  </si>
  <si>
    <t>Isa Rachman, ST., MT.</t>
  </si>
  <si>
    <t>198008162008121001</t>
  </si>
  <si>
    <t>Lilik Subiyanto, ST., MT.</t>
  </si>
  <si>
    <t>196901301997021001</t>
  </si>
  <si>
    <t>Lukman Handoko, S.KM., MT.</t>
  </si>
  <si>
    <t>197703252003121002</t>
  </si>
  <si>
    <t>Lusia Eni Puspandari, S.Pd., M.Pd.</t>
  </si>
  <si>
    <t>197012122008122001</t>
  </si>
  <si>
    <t>198905022015042002</t>
  </si>
  <si>
    <t>197804142005012002</t>
  </si>
  <si>
    <t>Moch. Luqman Ashari, ST., MT.</t>
  </si>
  <si>
    <t>198007252009121001</t>
  </si>
  <si>
    <t>199011272015041002</t>
  </si>
  <si>
    <t>198707272015041001</t>
  </si>
  <si>
    <t>Moh. Miftachul Munir, ST., MT.</t>
  </si>
  <si>
    <t>196808301997021001</t>
  </si>
  <si>
    <t>197307032008011014</t>
  </si>
  <si>
    <t>197505302001121004</t>
  </si>
  <si>
    <t>Mohammad Basuki Rahmat, ST., MT.</t>
  </si>
  <si>
    <t>197305222000031001</t>
  </si>
  <si>
    <t>Mohammad Thoriq Wahyudi, ST., MM.</t>
  </si>
  <si>
    <t>196008031988031004</t>
  </si>
  <si>
    <t>Muhamad Ari, ST., MT.</t>
  </si>
  <si>
    <t>197408282003121001</t>
  </si>
  <si>
    <t>Muhammad Khoirul Hasin, S.Kom., M.Kom</t>
  </si>
  <si>
    <t>198812252015041003</t>
  </si>
  <si>
    <t>Muhammad Shah, ST., MT.</t>
  </si>
  <si>
    <t>195909161988031003</t>
  </si>
  <si>
    <t>Mukhlis, S.T., M.T.</t>
  </si>
  <si>
    <t>198009052015041001</t>
  </si>
  <si>
    <t>Noorman Rinanto, ST., MT.</t>
  </si>
  <si>
    <t>197610142012121002</t>
  </si>
  <si>
    <t>Nopem Ariwiyono, ST., MT.</t>
  </si>
  <si>
    <t>196211301988031003</t>
  </si>
  <si>
    <t>Nora Amelia Novitrie, S.T., M.T.</t>
  </si>
  <si>
    <t>198805142015042002</t>
  </si>
  <si>
    <t>Novi Eka Mayangsari, S.T., M.T</t>
  </si>
  <si>
    <t>199011172015042002</t>
  </si>
  <si>
    <t>Nurvita Arumsari, S.Si., M.Si</t>
  </si>
  <si>
    <t>198710282015042002</t>
  </si>
  <si>
    <t>Pekik Mahardhika, S.ST., M.T.</t>
  </si>
  <si>
    <t>198910092015041001</t>
  </si>
  <si>
    <t>Perwi Darmajanti, S.S., M.Pd.</t>
  </si>
  <si>
    <t>197009251998022001</t>
  </si>
  <si>
    <t>Pranowo Sidi, ST., MT.</t>
  </si>
  <si>
    <t>196010201985031002</t>
  </si>
  <si>
    <t>198103242014041001</t>
  </si>
  <si>
    <t>197708192005011001</t>
  </si>
  <si>
    <t>Projek Priyonggo SL., ST., MT.</t>
  </si>
  <si>
    <t>196106161988031002</t>
  </si>
  <si>
    <t>Wakil Direktur III</t>
  </si>
  <si>
    <t>Purwidi Asri, SST., MT.</t>
  </si>
  <si>
    <t>197109031995012001</t>
  </si>
  <si>
    <t>197604122002121003</t>
  </si>
  <si>
    <t>R.A Norromadani Yuniati, S.E., M.SM.</t>
  </si>
  <si>
    <t>198406012015042002</t>
  </si>
  <si>
    <t>Rachmad Tri Soelistijono, ST., MT.</t>
  </si>
  <si>
    <t>196811091995121001</t>
  </si>
  <si>
    <t>Rina Sandora, ST., MT.</t>
  </si>
  <si>
    <t>197903092009122001</t>
  </si>
  <si>
    <t>Rini Indarti, S.Si., MT.</t>
  </si>
  <si>
    <t>197001071997032001</t>
  </si>
  <si>
    <t>Ristanti Akseptori, S.S., M.M.</t>
  </si>
  <si>
    <t>198602172015042002</t>
  </si>
  <si>
    <t>Rona Riantini, ST., M.Sc.</t>
  </si>
  <si>
    <t>197906212001122003</t>
  </si>
  <si>
    <t>196910151995011001</t>
  </si>
  <si>
    <t>Sryang Tera Sarena, ST., M.Sc.</t>
  </si>
  <si>
    <t>198604072014042003</t>
  </si>
  <si>
    <t>Subagio So'im, ST., MT.</t>
  </si>
  <si>
    <t>196002271988031001</t>
  </si>
  <si>
    <t>196910041997021001</t>
  </si>
  <si>
    <t>Tanti Utami Dewi, S.Si., M.Sc.</t>
  </si>
  <si>
    <t>198203302015042001</t>
  </si>
  <si>
    <t>Thina Ardliana, S.Si., MT.</t>
  </si>
  <si>
    <t>198501112012122002</t>
  </si>
  <si>
    <t>Tri Andi Setiawan, S.ST., M.T</t>
  </si>
  <si>
    <t>198901282015041002</t>
  </si>
  <si>
    <t>Tri Karyono, ST., MT.</t>
  </si>
  <si>
    <t>196911061995121001</t>
  </si>
  <si>
    <t>Tri Tiyasmihadi, ST., MT.</t>
  </si>
  <si>
    <t>196206181988031001</t>
  </si>
  <si>
    <t>199010282015042001</t>
  </si>
  <si>
    <t>Urip Mudjiono, ST., MT.</t>
  </si>
  <si>
    <t>196805271994031002</t>
  </si>
  <si>
    <t>Usman Dinata, ST., MM.</t>
  </si>
  <si>
    <t>196012171988031002</t>
  </si>
  <si>
    <t>198909162015042002</t>
  </si>
  <si>
    <t>Wahyudi, ST., MT.</t>
  </si>
  <si>
    <t>196706201994031002</t>
  </si>
  <si>
    <t>Wibowo Arninputranto, ST., M.Kom.</t>
  </si>
  <si>
    <t>197707152008121002</t>
  </si>
  <si>
    <t>Wiediartini, SE., MT.</t>
  </si>
  <si>
    <t>197604222009122003</t>
  </si>
  <si>
    <t>Yesica Novrita Devi, S.ST., M.MT.</t>
  </si>
  <si>
    <t>198911042015042001</t>
  </si>
  <si>
    <t>Yugowati Praharsi, S.Si., M.Sc., Ph.D</t>
  </si>
  <si>
    <t>198108282015042001</t>
  </si>
  <si>
    <t>198005162006042001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</si>
  <si>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</si>
  <si>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</si>
  <si>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</si>
  <si>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</si>
  <si>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</si>
  <si>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</si>
  <si>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</si>
  <si>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</si>
  <si>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</si>
  <si>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</si>
  <si>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</si>
  <si>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</si>
  <si>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Kepala P3M</t>
  </si>
  <si>
    <t>Ketua Jurusan Teknik Kelistrikan Kapal</t>
  </si>
  <si>
    <t>Ketua Jurusan Teknik Bangunan Kapal</t>
  </si>
  <si>
    <t>Ketua Jurusan Teknik Permesinan Kapal</t>
  </si>
  <si>
    <t>Kepala UPT. Komputer</t>
  </si>
  <si>
    <t>Kepala UPT. Bahasa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</si>
  <si>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</si>
  <si>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</si>
  <si>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</si>
  <si>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</si>
  <si>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</si>
  <si>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</si>
  <si>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</si>
  <si>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</si>
  <si>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</si>
  <si>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</si>
  <si>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</si>
  <si>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Pangkat / Golongan Ruang</t>
  </si>
  <si>
    <t>Aditya Maharani, S.Si., MT.</t>
  </si>
  <si>
    <t>Afif Zuhri Arfianto, ST., MT.</t>
  </si>
  <si>
    <t>Aang Wahidin, ST., MT.</t>
  </si>
  <si>
    <t>Aminatus Sa'diyah, S.Si., MT.</t>
  </si>
  <si>
    <t>Fipka Bisono, S.ST., MT.</t>
  </si>
  <si>
    <t>Fitri Hardiyanti, ST., MT.</t>
  </si>
  <si>
    <t>Imam Khoirul Rohmat, S.ST., MT.</t>
  </si>
  <si>
    <t>Mey Rohma Dhani, S.ST., MT.</t>
  </si>
  <si>
    <t>Mochamad Yusuf Santoso, ST., MT.</t>
  </si>
  <si>
    <t>Mochammad Choirul Rizal, ST., MT.</t>
  </si>
  <si>
    <t>Hendro Agus Widodo, S.ST., MT.</t>
  </si>
  <si>
    <t>Sudiyono, ST., MT.</t>
  </si>
  <si>
    <t>Ulvi Pri Astuti, ST., MT.</t>
  </si>
  <si>
    <t>Pangkat / Gol.Ruang</t>
  </si>
  <si>
    <t>Unsur Utama</t>
  </si>
  <si>
    <t>Jumlah angka kredit</t>
  </si>
  <si>
    <t>198810292015042002</t>
  </si>
  <si>
    <t>Vivin Setiani, ST., M.Eng.</t>
  </si>
  <si>
    <t>Ir. Eko Julianto, M.Sc.</t>
  </si>
  <si>
    <t>Dr. Eng. Imam Sutrisno, ST., MT.</t>
  </si>
  <si>
    <t>Dr. Eng. Mohammad Abu Jami'in, ST., MT.</t>
  </si>
  <si>
    <t>I Putu Arta Wibawa, ST., MT., Ph.D.</t>
  </si>
  <si>
    <t>Ruddianto, ST., MT.</t>
  </si>
  <si>
    <t>Dr. Dewi Kurniasih, S.KM., M.Kes.</t>
  </si>
  <si>
    <t>Dr. Mirna Apriani, ST., MT.</t>
  </si>
  <si>
    <t>Ir. Eko Julianto, M.Sc., FRINA</t>
  </si>
  <si>
    <t>Kepala UPT. Pemeliharaan dan Perbaikan</t>
  </si>
  <si>
    <t>Kepala UPT. Perpustakaan</t>
  </si>
  <si>
    <t>Ii Munadhif, S.ST., MT.</t>
  </si>
  <si>
    <t>Ika Erawati, S.S., M.Pd.</t>
  </si>
  <si>
    <t>Raden Dimas Endro Witjonarko, ST., MT.</t>
  </si>
  <si>
    <t>Renanda Nia Rachmadita, ST., MT.</t>
  </si>
  <si>
    <t>Ir. Muhamad Muhadi Eko Prayitno, M.MT.</t>
  </si>
  <si>
    <t>199107102018031001</t>
  </si>
  <si>
    <t>Nama/NIP dan Paraf                         Pejabat Penilai</t>
  </si>
  <si>
    <t>198107032009122003</t>
  </si>
  <si>
    <t>Dr. Eng. Muh. Anis Mustaghfirin, ST., MT.</t>
  </si>
  <si>
    <t>Yeni Astuti, ST.</t>
  </si>
  <si>
    <t>196401011988032001</t>
  </si>
  <si>
    <t>Fitriana Hari Astuti, S.Sos.</t>
  </si>
  <si>
    <t>197510012000032001</t>
  </si>
  <si>
    <t>Priyambodo Nur Ardi Nugroho, ST., MT., Ph.D.</t>
  </si>
  <si>
    <t>Dr. Desi Tri Cahyaningati, SS., M.Pd.</t>
  </si>
  <si>
    <t>Dr. Mohamad Hakam, ST., MT.</t>
  </si>
  <si>
    <t>Dr. Indri Santiasih, S.KM., MT.</t>
  </si>
  <si>
    <t>Dika Rahayu Widiana, S.ST., MT., Ph.D.</t>
  </si>
  <si>
    <t>Sumardiono, S.T., M.T.</t>
  </si>
  <si>
    <t>Rikat Eka Prastyawan, S.Pd., M.Pd.</t>
  </si>
  <si>
    <t>Agung Prasetyo Utomo, S.Pd., M.T.</t>
  </si>
  <si>
    <t>Benedicta Dian Alfanda, S.T., M.T.</t>
  </si>
  <si>
    <t>Ekky Nur Budiyanto, S.ST., M.T.</t>
  </si>
  <si>
    <t>Eriek Wahyu Restu Widodo, S.Si., MT.</t>
  </si>
  <si>
    <t>Rizal Indrawan, S.ST., M.T.</t>
  </si>
  <si>
    <t>Dhika Aditya Purnomo, S.ST., M.T.</t>
  </si>
  <si>
    <t>Danis Maulana, S.T., M.A.B</t>
  </si>
  <si>
    <t>Eky Novianarenti, S.T., M.T.</t>
  </si>
  <si>
    <t>Lely Pramesti, S.T., M.T.</t>
  </si>
  <si>
    <t>Hendri Budi Kurniyanto, S.ST., M.T.</t>
  </si>
  <si>
    <t>Dika Anggara, S.ST., M.T.</t>
  </si>
  <si>
    <t>Luqman Cahyono, S.Pd., MT.</t>
  </si>
  <si>
    <t>Muhammad Lukman Arif, S.Pd.I., M.Pd.I.</t>
  </si>
  <si>
    <t>Mades Darul Khairansyah, S.ST., M.T.</t>
  </si>
  <si>
    <t>Moh. Syaiful Amri, S.ST., M.T.</t>
  </si>
  <si>
    <t>Mochammad Karim Al Amin, S.ST., M.T.</t>
  </si>
  <si>
    <t>Ayu Nindyapuspa, S.T., M.T.</t>
  </si>
  <si>
    <t>Mahasin Maulana Ahmad, S.T., M.T.</t>
  </si>
  <si>
    <t>Kiki Dwi Wulandari, S.T., M.T.</t>
  </si>
  <si>
    <t>Abdul Gafur, S.T., M.T.</t>
  </si>
  <si>
    <t>Ryan Yudha Adhitya, S.ST., M.T.</t>
  </si>
  <si>
    <t>Aulia Nadia Rachmat, S.ST., M.T.</t>
  </si>
  <si>
    <t>Haidar Natsir Amrullah, S.ST., M.T.</t>
  </si>
  <si>
    <t>Rocky Andiana, S.ST., M.T.</t>
  </si>
  <si>
    <t>Imah Luluk Kusminah, S.T., M.T.</t>
  </si>
  <si>
    <t>Dwi Sasmita Aji Pambudi, S.T., M.T.</t>
  </si>
  <si>
    <t>Kharis Abdullah, S.T., M.T.</t>
  </si>
  <si>
    <t>Anggara Trisna Nugraha, S.T., M.T.</t>
  </si>
  <si>
    <t>Widya Emilia Primaningtyas, ST., MT.</t>
  </si>
  <si>
    <t>198411092019031010</t>
  </si>
  <si>
    <t>198710292019031010</t>
  </si>
  <si>
    <t>198810142019031006</t>
  </si>
  <si>
    <t>198901012019032027</t>
  </si>
  <si>
    <t>198903032019031015</t>
  </si>
  <si>
    <t>198907142019031014</t>
  </si>
  <si>
    <t>198907232019031012</t>
  </si>
  <si>
    <t>198910072019031008</t>
  </si>
  <si>
    <t>198910142019031015</t>
  </si>
  <si>
    <t>198911062019032011</t>
  </si>
  <si>
    <t>198911122019032026</t>
  </si>
  <si>
    <t>199003072019031010</t>
  </si>
  <si>
    <t>199007172019031018</t>
  </si>
  <si>
    <t>199008242019031012</t>
  </si>
  <si>
    <t>199009102019031021</t>
  </si>
  <si>
    <t>199012122019031014</t>
  </si>
  <si>
    <t>199101072019031016</t>
  </si>
  <si>
    <t>199101172019031013</t>
  </si>
  <si>
    <t>199101262019032024</t>
  </si>
  <si>
    <t>199103042019031012</t>
  </si>
  <si>
    <t>199106032019032022</t>
  </si>
  <si>
    <t>199106032019031007</t>
  </si>
  <si>
    <t>199106162019031016</t>
  </si>
  <si>
    <t>199108272019032024</t>
  </si>
  <si>
    <t>199110282019031011</t>
  </si>
  <si>
    <t>199112282019031010</t>
  </si>
  <si>
    <t>199203072019032021</t>
  </si>
  <si>
    <t>199204212019031016</t>
  </si>
  <si>
    <t>199212302019031016</t>
  </si>
  <si>
    <t>199311072019031008</t>
  </si>
  <si>
    <t>199107302019032015</t>
  </si>
  <si>
    <t>Ni'matut Tamimah, M.Sc.</t>
  </si>
  <si>
    <t>199102102018032001</t>
  </si>
  <si>
    <t>Surabaya, 4 Januari 2021</t>
  </si>
  <si>
    <t>Januari s.d. Juni 2021</t>
  </si>
  <si>
    <t>TAHUN 2021</t>
  </si>
  <si>
    <t>Surabaya, 1 Juli 2021</t>
  </si>
  <si>
    <t>1 Januari s.d. 30 Juni 2021</t>
  </si>
  <si>
    <t>Penilaian SKP sampai dengan akhir Juni 2021 =</t>
  </si>
  <si>
    <t>Tanggal 1 Juli 2021</t>
  </si>
  <si>
    <t>DIBUAT TANGGAL, 1 Juli 2021</t>
  </si>
  <si>
    <t>DITERIMA TANGGAL, 2 Juli 2021</t>
  </si>
  <si>
    <t>DITERIMA TANGGAL, 5 Juli 2021</t>
  </si>
  <si>
    <t>KEMENTERIAN PENDIDIKAN, KEBUDAYAAN, RISET, DAN TEKNOLOGI</t>
  </si>
  <si>
    <t>M. Rizal Fahmi, S.T., M.T.</t>
  </si>
  <si>
    <t>Dianita Wardani, S.Si., M.T.</t>
  </si>
  <si>
    <t>Agus Khumaidi, S.ST., MT.</t>
  </si>
  <si>
    <t>199106062020121012</t>
  </si>
  <si>
    <t>199204262020122015</t>
  </si>
  <si>
    <t>199308172020121004</t>
  </si>
  <si>
    <t>dr. Am Maisarah Disrinama, M.Kes.</t>
  </si>
  <si>
    <t>Dr. Yuning Widiarti, S.T., M.T.</t>
  </si>
  <si>
    <t>Dr. Ir. Wiwik Dwi Pratiwi, M.T.</t>
  </si>
  <si>
    <t>Dr. Priyo Agus Setiawan, S.T., M.T.</t>
  </si>
  <si>
    <t>Burniadi Moballa, S.T., M.Sc., Ph.D.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</si>
</sst>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  <numFmt numFmtId="168" formatCode="0;\-0;;@"/>
    <numFmt numFmtId="169" formatCode="0.00;\-0;;@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3C7D7"/>
        <bgColor indexed="64"/>
      </patternFill>
    </fill>
    <fill>
      <patternFill patternType="solid">
        <fgColor rgb="FF296F7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8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0" borderId="29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26" fillId="0" borderId="0" xfId="0" applyFont="1" applyFill="1"/>
    <xf numFmtId="0" fontId="26" fillId="0" borderId="0" xfId="0" quotePrefix="1" applyFont="1" applyFill="1"/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3" borderId="24" xfId="2" quotePrefix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1"/>
    </xf>
    <xf numFmtId="2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168" fontId="9" fillId="0" borderId="1" xfId="0" applyNumberFormat="1" applyFont="1" applyBorder="1" applyAlignment="1">
      <alignment horizontal="left" vertical="center" wrapText="1" indent="1"/>
    </xf>
    <xf numFmtId="168" fontId="9" fillId="0" borderId="1" xfId="0" applyNumberFormat="1" applyFont="1" applyBorder="1" applyAlignment="1">
      <alignment horizontal="center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0" fontId="24" fillId="3" borderId="0" xfId="2" applyFont="1" applyFill="1" applyAlignment="1">
      <alignment vertical="center"/>
    </xf>
    <xf numFmtId="0" fontId="23" fillId="0" borderId="28" xfId="2" applyFont="1" applyBorder="1"/>
    <xf numFmtId="0" fontId="23" fillId="0" borderId="24" xfId="2" applyFont="1" applyBorder="1"/>
    <xf numFmtId="0" fontId="24" fillId="4" borderId="0" xfId="2" applyFont="1" applyFill="1" applyAlignment="1">
      <alignment vertical="center"/>
    </xf>
    <xf numFmtId="0" fontId="23" fillId="0" borderId="29" xfId="2" applyFont="1" applyBorder="1"/>
    <xf numFmtId="0" fontId="18" fillId="6" borderId="0" xfId="0" applyFont="1" applyFill="1" applyAlignment="1">
      <alignment horizontal="center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>
          <a:extLst>
            <a:ext uri="{FF2B5EF4-FFF2-40B4-BE49-F238E27FC236}">
              <a16:creationId xmlns:a16="http://schemas.microsoft.com/office/drawing/2014/main" xmlns="" id="{00000000-0008-0000-02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>
          <a:extLst>
            <a:ext uri="{FF2B5EF4-FFF2-40B4-BE49-F238E27FC236}">
              <a16:creationId xmlns:a16="http://schemas.microsoft.com/office/drawing/2014/main" xmlns="" id="{00000000-0008-0000-06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Normal="90" zoomScalePageLayoutView="80" workbookViewId="0">
      <selection activeCell="I8" sqref="I8"/>
    </sheetView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90" zoomScaleNormal="90" zoomScalePageLayoutView="87" workbookViewId="0">
      <selection activeCell="E4" sqref="E4"/>
    </sheetView>
  </sheetViews>
  <sheetFormatPr defaultColWidth="9.140625" defaultRowHeight="18"/>
  <cols>
    <col min="1" max="1" width="4.28515625" style="71" customWidth="1"/>
    <col min="2" max="2" width="3.7109375" style="70" customWidth="1"/>
    <col min="3" max="3" width="25.7109375" style="70" customWidth="1"/>
    <col min="4" max="4" width="1.5703125" style="70" bestFit="1" customWidth="1"/>
    <col min="5" max="5" width="55.7109375" style="70" customWidth="1"/>
    <col min="6" max="9" width="9.140625" style="70"/>
    <col min="10" max="10" width="18.85546875" style="70" bestFit="1" customWidth="1"/>
    <col min="11" max="16384" width="9.140625" style="70"/>
  </cols>
  <sheetData>
    <row r="1" spans="1:5" ht="24.75" customHeight="1">
      <c r="A1" s="212" t="s">
        <v>101</v>
      </c>
      <c r="B1" s="212"/>
      <c r="C1" s="212"/>
      <c r="D1" s="212"/>
      <c r="E1" s="212"/>
    </row>
    <row r="2" spans="1:5" ht="12" customHeight="1"/>
    <row r="3" spans="1:5" ht="22.5" customHeight="1">
      <c r="A3" s="181">
        <v>1</v>
      </c>
      <c r="B3" s="213" t="s">
        <v>58</v>
      </c>
      <c r="C3" s="213"/>
      <c r="D3" s="213"/>
      <c r="E3" s="214"/>
    </row>
    <row r="4" spans="1:5" ht="22.5" customHeight="1">
      <c r="A4" s="72"/>
      <c r="B4" s="171" t="s">
        <v>60</v>
      </c>
      <c r="C4" s="173" t="s">
        <v>4</v>
      </c>
      <c r="D4" s="179" t="s">
        <v>70</v>
      </c>
      <c r="E4" s="174" t="s">
        <v>351</v>
      </c>
    </row>
    <row r="5" spans="1:5" ht="22.5" customHeight="1">
      <c r="A5" s="73"/>
      <c r="B5" s="171" t="s">
        <v>64</v>
      </c>
      <c r="C5" s="173" t="s">
        <v>5</v>
      </c>
      <c r="D5" s="179" t="s">
        <v>70</v>
      </c>
      <c r="E5" s="175" t="str">
        <f>VLOOKUP(E4,SOURCE!$A$2:$M$240,2,FALSE)</f>
        <v>197604222009122003</v>
      </c>
    </row>
    <row r="6" spans="1:5" ht="22.5" customHeight="1">
      <c r="A6" s="73"/>
      <c r="B6" s="172" t="s">
        <v>65</v>
      </c>
      <c r="C6" s="173" t="s">
        <v>401</v>
      </c>
      <c r="D6" s="179" t="s">
        <v>70</v>
      </c>
      <c r="E6" s="175" t="str">
        <f>VLOOKUP(E4,SOURCE!$A$2:$M$240,3,FALSE)</f>
        <v>Penata / III/c</v>
      </c>
    </row>
    <row r="7" spans="1:5" ht="22.5" customHeight="1">
      <c r="A7" s="73"/>
      <c r="B7" s="172" t="s">
        <v>66</v>
      </c>
      <c r="C7" s="173" t="s">
        <v>6</v>
      </c>
      <c r="D7" s="180" t="s">
        <v>70</v>
      </c>
      <c r="E7" s="175" t="str">
        <f>VLOOKUP(E4,SOURCE!$A$2:$M$240,5,FALSE)</f>
        <v>Lektor</v>
      </c>
    </row>
    <row r="8" spans="1:5" ht="22.5" customHeight="1">
      <c r="A8" s="74"/>
      <c r="B8" s="172" t="s">
        <v>67</v>
      </c>
      <c r="C8" s="173" t="s">
        <v>7</v>
      </c>
      <c r="D8" s="180" t="s">
        <v>70</v>
      </c>
      <c r="E8" s="176" t="s">
        <v>108</v>
      </c>
    </row>
    <row r="9" spans="1:5" ht="22.5" customHeight="1">
      <c r="A9" s="182">
        <v>2</v>
      </c>
      <c r="B9" s="213" t="s">
        <v>68</v>
      </c>
      <c r="C9" s="213"/>
      <c r="D9" s="213"/>
      <c r="E9" s="214"/>
    </row>
    <row r="10" spans="1:5" ht="22.5" customHeight="1">
      <c r="A10" s="72"/>
      <c r="B10" s="171" t="s">
        <v>60</v>
      </c>
      <c r="C10" s="173" t="s">
        <v>4</v>
      </c>
      <c r="D10" s="179" t="s">
        <v>70</v>
      </c>
      <c r="E10" s="177" t="str">
        <f>VLOOKUP(E4,SOURCE!$A$2:$M$240,6,FALSE)</f>
        <v>George Endri Kusuma, ST., MSc.Eng.</v>
      </c>
    </row>
    <row r="11" spans="1:5" ht="22.5" customHeight="1">
      <c r="A11" s="73"/>
      <c r="B11" s="171" t="s">
        <v>64</v>
      </c>
      <c r="C11" s="173" t="s">
        <v>5</v>
      </c>
      <c r="D11" s="179" t="s">
        <v>70</v>
      </c>
      <c r="E11" s="177" t="str">
        <f>VLOOKUP(E4,SOURCE!$A$2:$M$240,7,FALSE)</f>
        <v>197605172009121003</v>
      </c>
    </row>
    <row r="12" spans="1:5" ht="22.5" customHeight="1">
      <c r="A12" s="73"/>
      <c r="B12" s="172" t="s">
        <v>65</v>
      </c>
      <c r="C12" s="173" t="s">
        <v>401</v>
      </c>
      <c r="D12" s="179" t="s">
        <v>70</v>
      </c>
      <c r="E12" s="170" t="str">
        <f>VLOOKUP(E4,SOURCE!$A$2:$M$240,8,FALSE)</f>
        <v>Penata / III/c</v>
      </c>
    </row>
    <row r="13" spans="1:5" ht="22.5" customHeight="1">
      <c r="A13" s="73"/>
      <c r="B13" s="172" t="s">
        <v>66</v>
      </c>
      <c r="C13" s="173" t="s">
        <v>6</v>
      </c>
      <c r="D13" s="180" t="s">
        <v>70</v>
      </c>
      <c r="E13" s="170" t="str">
        <f>VLOOKUP(E4,SOURCE!$A$2:$M$240,9,FALSE)</f>
        <v>Ketua Jurusan Teknik Permesinan Kapal</v>
      </c>
    </row>
    <row r="14" spans="1:5" ht="22.5" customHeight="1">
      <c r="A14" s="74"/>
      <c r="B14" s="172" t="s">
        <v>67</v>
      </c>
      <c r="C14" s="173" t="s">
        <v>7</v>
      </c>
      <c r="D14" s="180" t="s">
        <v>70</v>
      </c>
      <c r="E14" s="176" t="s">
        <v>108</v>
      </c>
    </row>
    <row r="15" spans="1:5" ht="22.5" customHeight="1">
      <c r="A15" s="182">
        <v>3</v>
      </c>
      <c r="B15" s="213" t="s">
        <v>69</v>
      </c>
      <c r="C15" s="213"/>
      <c r="D15" s="213"/>
      <c r="E15" s="214"/>
    </row>
    <row r="16" spans="1:5" ht="22.5" customHeight="1">
      <c r="A16" s="72"/>
      <c r="B16" s="171" t="s">
        <v>60</v>
      </c>
      <c r="C16" s="173" t="s">
        <v>4</v>
      </c>
      <c r="D16" s="179" t="s">
        <v>70</v>
      </c>
      <c r="E16" s="178" t="str">
        <f>VLOOKUP(E4,SOURCE!$A$2:$M$240,10,FALSE)</f>
        <v>Dr. Eng. Muh. Anis Mustaghfirin, ST., MT.</v>
      </c>
    </row>
    <row r="17" spans="1:5" ht="22.5" customHeight="1">
      <c r="A17" s="73"/>
      <c r="B17" s="171" t="s">
        <v>64</v>
      </c>
      <c r="C17" s="173" t="s">
        <v>5</v>
      </c>
      <c r="D17" s="179" t="s">
        <v>70</v>
      </c>
      <c r="E17" s="175" t="str">
        <f>VLOOKUP(E4,SOURCE!$A$2:$M$240,11,FALSE)</f>
        <v>197208051997021001</v>
      </c>
    </row>
    <row r="18" spans="1:5" ht="22.5" customHeight="1">
      <c r="A18" s="73"/>
      <c r="B18" s="172" t="s">
        <v>65</v>
      </c>
      <c r="C18" s="173" t="s">
        <v>401</v>
      </c>
      <c r="D18" s="179" t="s">
        <v>70</v>
      </c>
      <c r="E18" s="178" t="str">
        <f>VLOOKUP(E4,SOURCE!$A$2:$M$240,12,FALSE)</f>
        <v>Penata Tingkat I / III/d</v>
      </c>
    </row>
    <row r="19" spans="1:5" ht="22.5" customHeight="1">
      <c r="A19" s="73"/>
      <c r="B19" s="172" t="s">
        <v>66</v>
      </c>
      <c r="C19" s="173" t="s">
        <v>6</v>
      </c>
      <c r="D19" s="180" t="s">
        <v>70</v>
      </c>
      <c r="E19" s="178" t="str">
        <f>VLOOKUP(E4,SOURCE!$A$2:$M$240,13,FALSE)</f>
        <v>Wakil Direktur I</v>
      </c>
    </row>
    <row r="20" spans="1:5" ht="22.5" customHeight="1">
      <c r="A20" s="74"/>
      <c r="B20" s="172" t="s">
        <v>67</v>
      </c>
      <c r="C20" s="173" t="s">
        <v>7</v>
      </c>
      <c r="D20" s="180" t="s">
        <v>70</v>
      </c>
      <c r="E20" s="176" t="s">
        <v>108</v>
      </c>
    </row>
  </sheetData>
  <sheetProtection password="CF7A" sheet="1" objects="1" scenarios="1" selectLockedCells="1" selectUnlockedCell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SOURCE!$A$2:$A$164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SOURCE!$A$2:$A$166</xm:f>
          </x14:formula1>
          <xm:sqref>E4</xm:sqref>
        </x14:dataValidation>
        <x14:dataValidation type="list" allowBlank="1" showInputMessage="1" showErrorMessage="1">
          <x14:formula1>
            <xm:f>SOURCE!$A$2:$A$138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4"/>
  <sheetViews>
    <sheetView zoomScale="90" zoomScaleNormal="90" workbookViewId="0">
      <selection activeCell="L41" sqref="L41"/>
    </sheetView>
  </sheetViews>
  <sheetFormatPr defaultColWidth="9.140625" defaultRowHeight="12.75"/>
  <cols>
    <col min="1" max="1" width="15.42578125" style="75" customWidth="1"/>
    <col min="2" max="3" width="9.140625" style="75"/>
    <col min="4" max="4" width="4.5703125" style="75" customWidth="1"/>
    <col min="5" max="5" width="1.5703125" style="75" customWidth="1"/>
    <col min="6" max="16384" width="9.140625" style="75"/>
  </cols>
  <sheetData>
    <row r="1" spans="1:10" ht="13.5" thickTop="1">
      <c r="A1" s="78"/>
      <c r="B1" s="79"/>
      <c r="C1" s="79"/>
      <c r="D1" s="79"/>
      <c r="E1" s="79"/>
      <c r="F1" s="79"/>
      <c r="G1" s="79"/>
      <c r="H1" s="79"/>
      <c r="I1" s="79"/>
      <c r="J1" s="80"/>
    </row>
    <row r="2" spans="1:10">
      <c r="A2" s="81"/>
      <c r="B2" s="76"/>
      <c r="C2" s="76"/>
      <c r="D2" s="76"/>
      <c r="E2" s="76"/>
      <c r="F2" s="76"/>
      <c r="G2" s="76"/>
      <c r="H2" s="76"/>
      <c r="I2" s="76"/>
      <c r="J2" s="82"/>
    </row>
    <row r="3" spans="1:10">
      <c r="A3" s="81"/>
      <c r="B3" s="76"/>
      <c r="C3" s="76"/>
      <c r="D3" s="76"/>
      <c r="E3" s="76"/>
      <c r="F3" s="76"/>
      <c r="G3" s="76"/>
      <c r="H3" s="76"/>
      <c r="I3" s="76"/>
      <c r="J3" s="82"/>
    </row>
    <row r="4" spans="1:10">
      <c r="A4" s="81"/>
      <c r="B4" s="76"/>
      <c r="C4" s="76"/>
      <c r="D4" s="76"/>
      <c r="E4" s="76"/>
      <c r="F4" s="76"/>
      <c r="G4" s="76"/>
      <c r="H4" s="76"/>
      <c r="I4" s="76"/>
      <c r="J4" s="82"/>
    </row>
    <row r="5" spans="1:10">
      <c r="A5" s="81"/>
      <c r="B5" s="76"/>
      <c r="C5" s="76"/>
      <c r="D5" s="76"/>
      <c r="E5" s="76"/>
      <c r="F5" s="76"/>
      <c r="G5" s="76"/>
      <c r="H5" s="76"/>
      <c r="I5" s="76"/>
      <c r="J5" s="82"/>
    </row>
    <row r="6" spans="1:10">
      <c r="A6" s="81"/>
      <c r="B6" s="76"/>
      <c r="C6" s="76"/>
      <c r="D6" s="76"/>
      <c r="E6" s="76"/>
      <c r="F6" s="76"/>
      <c r="G6" s="76"/>
      <c r="H6" s="76"/>
      <c r="I6" s="76"/>
      <c r="J6" s="82"/>
    </row>
    <row r="7" spans="1:10" ht="60" customHeight="1">
      <c r="A7" s="81"/>
      <c r="B7" s="76"/>
      <c r="C7" s="76"/>
      <c r="D7" s="76"/>
      <c r="E7" s="76"/>
      <c r="F7" s="76"/>
      <c r="G7" s="76"/>
      <c r="H7" s="76"/>
      <c r="I7" s="76"/>
      <c r="J7" s="82"/>
    </row>
    <row r="8" spans="1:10" ht="18">
      <c r="A8" s="215" t="s">
        <v>55</v>
      </c>
      <c r="B8" s="216"/>
      <c r="C8" s="216"/>
      <c r="D8" s="216"/>
      <c r="E8" s="216"/>
      <c r="F8" s="216"/>
      <c r="G8" s="216"/>
      <c r="H8" s="216"/>
      <c r="I8" s="216"/>
      <c r="J8" s="217"/>
    </row>
    <row r="9" spans="1:10" ht="18">
      <c r="A9" s="215" t="s">
        <v>56</v>
      </c>
      <c r="B9" s="216"/>
      <c r="C9" s="216"/>
      <c r="D9" s="216"/>
      <c r="E9" s="216"/>
      <c r="F9" s="216"/>
      <c r="G9" s="216"/>
      <c r="H9" s="216"/>
      <c r="I9" s="216"/>
      <c r="J9" s="217"/>
    </row>
    <row r="10" spans="1:10">
      <c r="A10" s="81"/>
      <c r="B10" s="76"/>
      <c r="C10" s="76"/>
      <c r="D10" s="76"/>
      <c r="E10" s="76"/>
      <c r="F10" s="76"/>
      <c r="G10" s="76"/>
      <c r="H10" s="76"/>
      <c r="I10" s="76"/>
      <c r="J10" s="82"/>
    </row>
    <row r="11" spans="1:10">
      <c r="A11" s="81"/>
      <c r="B11" s="76"/>
      <c r="C11" s="76"/>
      <c r="D11" s="76"/>
      <c r="E11" s="76"/>
      <c r="F11" s="76"/>
      <c r="G11" s="76"/>
      <c r="H11" s="76"/>
      <c r="I11" s="76"/>
      <c r="J11" s="82"/>
    </row>
    <row r="12" spans="1:10">
      <c r="A12" s="81"/>
      <c r="B12" s="76"/>
      <c r="C12" s="76"/>
      <c r="D12" s="76"/>
      <c r="E12" s="76"/>
      <c r="F12" s="76"/>
      <c r="G12" s="76"/>
      <c r="H12" s="76"/>
      <c r="I12" s="76"/>
      <c r="J12" s="82"/>
    </row>
    <row r="13" spans="1:10">
      <c r="A13" s="81"/>
      <c r="B13" s="76"/>
      <c r="C13" s="76"/>
      <c r="D13" s="76"/>
      <c r="E13" s="76"/>
      <c r="F13" s="76"/>
      <c r="G13" s="76"/>
      <c r="H13" s="76"/>
      <c r="I13" s="76"/>
      <c r="J13" s="82"/>
    </row>
    <row r="14" spans="1:10">
      <c r="A14" s="81"/>
      <c r="B14" s="76"/>
      <c r="C14" s="76"/>
      <c r="D14" s="76"/>
      <c r="E14" s="76"/>
      <c r="F14" s="76"/>
      <c r="G14" s="76"/>
      <c r="H14" s="76"/>
      <c r="I14" s="76"/>
      <c r="J14" s="82"/>
    </row>
    <row r="15" spans="1:10" ht="15.75">
      <c r="A15" s="218" t="s">
        <v>103</v>
      </c>
      <c r="B15" s="219"/>
      <c r="C15" s="219"/>
      <c r="D15" s="219"/>
      <c r="E15" s="219"/>
      <c r="F15" s="219"/>
      <c r="G15" s="219"/>
      <c r="H15" s="219"/>
      <c r="I15" s="219"/>
      <c r="J15" s="220"/>
    </row>
    <row r="16" spans="1:10" ht="15.75">
      <c r="A16" s="218" t="s">
        <v>499</v>
      </c>
      <c r="B16" s="219"/>
      <c r="C16" s="219"/>
      <c r="D16" s="219"/>
      <c r="E16" s="219"/>
      <c r="F16" s="219"/>
      <c r="G16" s="219"/>
      <c r="H16" s="219"/>
      <c r="I16" s="219"/>
      <c r="J16" s="220"/>
    </row>
    <row r="17" spans="1:10" ht="88.5" customHeight="1">
      <c r="A17" s="81"/>
      <c r="B17" s="76"/>
      <c r="C17" s="76"/>
      <c r="D17" s="76"/>
      <c r="E17" s="76"/>
      <c r="F17" s="76"/>
      <c r="G17" s="76"/>
      <c r="H17" s="76"/>
      <c r="I17" s="76"/>
      <c r="J17" s="82"/>
    </row>
    <row r="18" spans="1:10" ht="19.5" customHeight="1">
      <c r="A18" s="164" t="s">
        <v>102</v>
      </c>
      <c r="C18" s="55"/>
      <c r="D18" s="55"/>
      <c r="E18" s="55" t="s">
        <v>70</v>
      </c>
      <c r="F18" s="221" t="str">
        <f>'DATA SKP'!E4</f>
        <v>Wiediartini, SE., MT.</v>
      </c>
      <c r="G18" s="221"/>
      <c r="H18" s="221"/>
      <c r="I18" s="221"/>
      <c r="J18" s="222"/>
    </row>
    <row r="19" spans="1:10" ht="19.5" customHeight="1">
      <c r="A19" s="164" t="s">
        <v>5</v>
      </c>
      <c r="C19" s="55"/>
      <c r="D19" s="55"/>
      <c r="E19" s="55" t="s">
        <v>70</v>
      </c>
      <c r="F19" s="223" t="str">
        <f>'DATA SKP'!E5</f>
        <v>197604222009122003</v>
      </c>
      <c r="G19" s="223"/>
      <c r="H19" s="223"/>
      <c r="I19" s="223"/>
      <c r="J19" s="224"/>
    </row>
    <row r="20" spans="1:10" ht="19.5" customHeight="1">
      <c r="A20" s="164" t="s">
        <v>387</v>
      </c>
      <c r="C20" s="55"/>
      <c r="D20" s="55"/>
      <c r="E20" s="55" t="s">
        <v>70</v>
      </c>
      <c r="F20" s="223" t="str">
        <f>'DATA SKP'!E6</f>
        <v>Penata / III/c</v>
      </c>
      <c r="G20" s="223"/>
      <c r="H20" s="223"/>
      <c r="I20" s="223"/>
      <c r="J20" s="224"/>
    </row>
    <row r="21" spans="1:10" ht="19.5" customHeight="1">
      <c r="A21" s="164" t="s">
        <v>6</v>
      </c>
      <c r="C21" s="55"/>
      <c r="D21" s="55"/>
      <c r="E21" s="55" t="s">
        <v>70</v>
      </c>
      <c r="F21" s="223" t="str">
        <f>'DATA SKP'!E7</f>
        <v>Lektor</v>
      </c>
      <c r="G21" s="223"/>
      <c r="H21" s="223"/>
      <c r="I21" s="223"/>
      <c r="J21" s="224"/>
    </row>
    <row r="22" spans="1:10" ht="18.75" customHeight="1">
      <c r="A22" s="164" t="s">
        <v>7</v>
      </c>
      <c r="C22" s="55"/>
      <c r="D22" s="55"/>
      <c r="E22" s="55" t="s">
        <v>70</v>
      </c>
      <c r="F22" s="223" t="str">
        <f>'DATA SKP'!E8</f>
        <v>Politeknik Perkapalan Negeri Surabaya</v>
      </c>
      <c r="G22" s="223"/>
      <c r="H22" s="223"/>
      <c r="I22" s="223"/>
      <c r="J22" s="224"/>
    </row>
    <row r="23" spans="1:10" ht="15">
      <c r="A23" s="81"/>
      <c r="B23" s="77"/>
      <c r="C23" s="77"/>
      <c r="D23" s="77"/>
      <c r="E23" s="77"/>
      <c r="F23" s="77"/>
      <c r="G23" s="77"/>
      <c r="H23" s="77"/>
      <c r="I23" s="76"/>
      <c r="J23" s="82"/>
    </row>
    <row r="24" spans="1:10">
      <c r="A24" s="81"/>
      <c r="B24" s="76"/>
      <c r="C24" s="76"/>
      <c r="D24" s="76"/>
      <c r="E24" s="76"/>
      <c r="F24" s="76"/>
      <c r="G24" s="76"/>
      <c r="H24" s="76"/>
      <c r="I24" s="76"/>
      <c r="J24" s="82"/>
    </row>
    <row r="25" spans="1:10">
      <c r="A25" s="81"/>
      <c r="B25" s="76"/>
      <c r="C25" s="76"/>
      <c r="D25" s="76"/>
      <c r="E25" s="76"/>
      <c r="F25" s="76"/>
      <c r="G25" s="76"/>
      <c r="H25" s="76"/>
      <c r="I25" s="76"/>
      <c r="J25" s="82"/>
    </row>
    <row r="26" spans="1:10">
      <c r="A26" s="81"/>
      <c r="B26" s="76"/>
      <c r="C26" s="76"/>
      <c r="D26" s="76"/>
      <c r="E26" s="76"/>
      <c r="F26" s="76"/>
      <c r="G26" s="76"/>
      <c r="H26" s="76"/>
      <c r="I26" s="76"/>
      <c r="J26" s="82"/>
    </row>
    <row r="27" spans="1:10">
      <c r="A27" s="81"/>
      <c r="B27" s="76"/>
      <c r="C27" s="76"/>
      <c r="D27" s="76"/>
      <c r="E27" s="76"/>
      <c r="F27" s="76"/>
      <c r="G27" s="76"/>
      <c r="H27" s="76"/>
      <c r="I27" s="76"/>
      <c r="J27" s="82"/>
    </row>
    <row r="28" spans="1:10">
      <c r="A28" s="81"/>
      <c r="B28" s="76"/>
      <c r="C28" s="76"/>
      <c r="D28" s="76"/>
      <c r="E28" s="76"/>
      <c r="F28" s="76"/>
      <c r="G28" s="76"/>
      <c r="H28" s="76"/>
      <c r="I28" s="76"/>
      <c r="J28" s="82"/>
    </row>
    <row r="29" spans="1:10">
      <c r="A29" s="81"/>
      <c r="B29" s="76"/>
      <c r="C29" s="76"/>
      <c r="D29" s="76"/>
      <c r="E29" s="76"/>
      <c r="F29" s="76"/>
      <c r="G29" s="76"/>
      <c r="H29" s="76"/>
      <c r="I29" s="76"/>
      <c r="J29" s="82"/>
    </row>
    <row r="30" spans="1:10">
      <c r="A30" s="81"/>
      <c r="B30" s="76"/>
      <c r="C30" s="76"/>
      <c r="D30" s="76"/>
      <c r="E30" s="76"/>
      <c r="F30" s="76"/>
      <c r="G30" s="76"/>
      <c r="H30" s="76"/>
      <c r="I30" s="76"/>
      <c r="J30" s="82"/>
    </row>
    <row r="31" spans="1:10">
      <c r="A31" s="81"/>
      <c r="B31" s="76"/>
      <c r="C31" s="76"/>
      <c r="D31" s="76"/>
      <c r="E31" s="76"/>
      <c r="F31" s="76"/>
      <c r="G31" s="76"/>
      <c r="H31" s="76"/>
      <c r="I31" s="76"/>
      <c r="J31" s="82"/>
    </row>
    <row r="32" spans="1:10">
      <c r="A32" s="81"/>
      <c r="B32" s="76"/>
      <c r="C32" s="76"/>
      <c r="D32" s="76"/>
      <c r="E32" s="76"/>
      <c r="F32" s="76"/>
      <c r="G32" s="76"/>
      <c r="H32" s="76"/>
      <c r="I32" s="76"/>
      <c r="J32" s="82"/>
    </row>
    <row r="33" spans="1:10">
      <c r="A33" s="81"/>
      <c r="B33" s="76"/>
      <c r="C33" s="76"/>
      <c r="D33" s="76"/>
      <c r="E33" s="76"/>
      <c r="F33" s="76"/>
      <c r="G33" s="76"/>
      <c r="H33" s="76"/>
      <c r="I33" s="76"/>
      <c r="J33" s="82"/>
    </row>
    <row r="34" spans="1:10">
      <c r="A34" s="81"/>
      <c r="B34" s="76"/>
      <c r="C34" s="76"/>
      <c r="D34" s="76"/>
      <c r="E34" s="76"/>
      <c r="F34" s="76"/>
      <c r="G34" s="76"/>
      <c r="H34" s="76"/>
      <c r="I34" s="76"/>
      <c r="J34" s="82"/>
    </row>
    <row r="35" spans="1:10">
      <c r="A35" s="81"/>
      <c r="B35" s="76"/>
      <c r="C35" s="76"/>
      <c r="D35" s="76"/>
      <c r="E35" s="76"/>
      <c r="F35" s="76"/>
      <c r="G35" s="76"/>
      <c r="H35" s="76"/>
      <c r="I35" s="76"/>
      <c r="J35" s="82"/>
    </row>
    <row r="36" spans="1:10">
      <c r="A36" s="81"/>
      <c r="B36" s="76"/>
      <c r="C36" s="76"/>
      <c r="D36" s="76"/>
      <c r="E36" s="76"/>
      <c r="F36" s="76"/>
      <c r="G36" s="76"/>
      <c r="H36" s="76"/>
      <c r="I36" s="76"/>
      <c r="J36" s="82"/>
    </row>
    <row r="37" spans="1:10">
      <c r="A37" s="81"/>
      <c r="B37" s="76"/>
      <c r="C37" s="76"/>
      <c r="D37" s="76"/>
      <c r="E37" s="76"/>
      <c r="F37" s="76"/>
      <c r="G37" s="76"/>
      <c r="H37" s="76"/>
      <c r="I37" s="76"/>
      <c r="J37" s="82"/>
    </row>
    <row r="38" spans="1:10">
      <c r="A38" s="81"/>
      <c r="B38" s="76"/>
      <c r="C38" s="76"/>
      <c r="D38" s="76"/>
      <c r="E38" s="76"/>
      <c r="F38" s="76"/>
      <c r="G38" s="76"/>
      <c r="H38" s="76"/>
      <c r="I38" s="76"/>
      <c r="J38" s="82"/>
    </row>
    <row r="39" spans="1:10" ht="18">
      <c r="A39" s="215" t="s">
        <v>508</v>
      </c>
      <c r="B39" s="216"/>
      <c r="C39" s="216"/>
      <c r="D39" s="216"/>
      <c r="E39" s="216"/>
      <c r="F39" s="216"/>
      <c r="G39" s="216"/>
      <c r="H39" s="216"/>
      <c r="I39" s="216"/>
      <c r="J39" s="217"/>
    </row>
    <row r="40" spans="1:10" ht="18">
      <c r="A40" s="215" t="s">
        <v>500</v>
      </c>
      <c r="B40" s="216"/>
      <c r="C40" s="216"/>
      <c r="D40" s="216"/>
      <c r="E40" s="216"/>
      <c r="F40" s="216"/>
      <c r="G40" s="216"/>
      <c r="H40" s="216"/>
      <c r="I40" s="216"/>
      <c r="J40" s="217"/>
    </row>
    <row r="41" spans="1:10" ht="18">
      <c r="A41" s="92"/>
      <c r="B41" s="93"/>
      <c r="C41" s="93"/>
      <c r="D41" s="93"/>
      <c r="E41" s="93"/>
      <c r="F41" s="93"/>
      <c r="G41" s="93"/>
      <c r="H41" s="93"/>
      <c r="I41" s="93"/>
      <c r="J41" s="94"/>
    </row>
    <row r="42" spans="1:10" ht="23.25" customHeight="1">
      <c r="A42" s="81"/>
      <c r="B42" s="76"/>
      <c r="C42" s="76"/>
      <c r="D42" s="76"/>
      <c r="E42" s="76"/>
      <c r="F42" s="76"/>
      <c r="G42" s="76"/>
      <c r="H42" s="76"/>
      <c r="I42" s="76"/>
      <c r="J42" s="82"/>
    </row>
    <row r="43" spans="1:10" ht="13.5" thickBot="1">
      <c r="A43" s="83"/>
      <c r="B43" s="84"/>
      <c r="C43" s="84"/>
      <c r="D43" s="84"/>
      <c r="E43" s="84"/>
      <c r="F43" s="84"/>
      <c r="G43" s="84"/>
      <c r="H43" s="84"/>
      <c r="I43" s="84"/>
      <c r="J43" s="85"/>
    </row>
    <row r="44" spans="1:10" ht="13.5" thickTop="1"/>
  </sheetData>
  <sheetProtection password="CF7A" sheet="1" objects="1" scenarios="1"/>
  <mergeCells count="11">
    <mergeCell ref="A40:J40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9:J39"/>
  </mergeCells>
  <pageMargins left="0.9055118110236221" right="0.70866141732283472" top="0.74803149606299213" bottom="0.74803149606299213" header="0.31496062992125984" footer="0.31496062992125984"/>
  <pageSetup paperSize="9" scale="96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5"/>
  <sheetViews>
    <sheetView showWhiteSpace="0" zoomScale="90" zoomScaleNormal="90" workbookViewId="0">
      <selection activeCell="F19" sqref="F19"/>
    </sheetView>
  </sheetViews>
  <sheetFormatPr defaultColWidth="9.140625"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.75">
      <c r="A2" s="247" t="s">
        <v>56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1" customFormat="1" ht="18" customHeight="1">
      <c r="A4" s="27" t="s">
        <v>1</v>
      </c>
      <c r="B4" s="249" t="s">
        <v>2</v>
      </c>
      <c r="C4" s="250"/>
      <c r="D4" s="104"/>
      <c r="E4" s="27" t="s">
        <v>1</v>
      </c>
      <c r="F4" s="251" t="s">
        <v>3</v>
      </c>
      <c r="G4" s="252"/>
      <c r="H4" s="252"/>
      <c r="I4" s="252"/>
      <c r="J4" s="252"/>
      <c r="K4" s="253"/>
    </row>
    <row r="5" spans="1:11" s="1" customFormat="1" ht="18" customHeight="1">
      <c r="A5" s="109">
        <v>1</v>
      </c>
      <c r="B5" s="116" t="s">
        <v>4</v>
      </c>
      <c r="C5" s="245" t="str">
        <f>'DATA SKP'!E10</f>
        <v>George Endri Kusuma, ST., MSc.Eng.</v>
      </c>
      <c r="D5" s="246"/>
      <c r="E5" s="60">
        <v>1</v>
      </c>
      <c r="F5" s="243" t="s">
        <v>4</v>
      </c>
      <c r="G5" s="244"/>
      <c r="H5" s="248" t="str">
        <f>'DATA SKP'!E4</f>
        <v>Wiediartini, SE., MT.</v>
      </c>
      <c r="I5" s="243"/>
      <c r="J5" s="243"/>
      <c r="K5" s="244"/>
    </row>
    <row r="6" spans="1:11" s="1" customFormat="1" ht="18" customHeight="1">
      <c r="A6" s="110">
        <v>2</v>
      </c>
      <c r="B6" s="117" t="s">
        <v>5</v>
      </c>
      <c r="C6" s="231" t="str">
        <f>'DATA SKP'!E11</f>
        <v>197605172009121003</v>
      </c>
      <c r="D6" s="232"/>
      <c r="E6" s="61">
        <v>2</v>
      </c>
      <c r="F6" s="226" t="s">
        <v>5</v>
      </c>
      <c r="G6" s="227"/>
      <c r="H6" s="225" t="str">
        <f>'DATA SKP'!E5</f>
        <v>197604222009122003</v>
      </c>
      <c r="I6" s="226"/>
      <c r="J6" s="226"/>
      <c r="K6" s="227"/>
    </row>
    <row r="7" spans="1:11" s="1" customFormat="1" ht="18" customHeight="1">
      <c r="A7" s="110">
        <v>3</v>
      </c>
      <c r="B7" s="117" t="s">
        <v>8</v>
      </c>
      <c r="C7" s="231" t="str">
        <f>'DATA SKP'!E12</f>
        <v>Penata / III/c</v>
      </c>
      <c r="D7" s="232"/>
      <c r="E7" s="61">
        <v>3</v>
      </c>
      <c r="F7" s="226" t="s">
        <v>8</v>
      </c>
      <c r="G7" s="227"/>
      <c r="H7" s="225" t="str">
        <f>'DATA SKP'!E6</f>
        <v>Penata / III/c</v>
      </c>
      <c r="I7" s="226"/>
      <c r="J7" s="226"/>
      <c r="K7" s="227"/>
    </row>
    <row r="8" spans="1:11" s="1" customFormat="1" ht="27.75" customHeight="1">
      <c r="A8" s="110">
        <v>4</v>
      </c>
      <c r="B8" s="117" t="s">
        <v>6</v>
      </c>
      <c r="C8" s="231" t="str">
        <f>'DATA SKP'!E13</f>
        <v>Ketua Jurusan Teknik Permesinan Kapal</v>
      </c>
      <c r="D8" s="232"/>
      <c r="E8" s="61">
        <v>4</v>
      </c>
      <c r="F8" s="226" t="s">
        <v>6</v>
      </c>
      <c r="G8" s="227"/>
      <c r="H8" s="225" t="str">
        <f>'DATA SKP'!E7</f>
        <v>Lektor</v>
      </c>
      <c r="I8" s="226"/>
      <c r="J8" s="226"/>
      <c r="K8" s="227"/>
    </row>
    <row r="9" spans="1:11" s="1" customFormat="1" ht="18" customHeight="1">
      <c r="A9" s="111">
        <v>5</v>
      </c>
      <c r="B9" s="118" t="s">
        <v>7</v>
      </c>
      <c r="C9" s="233" t="str">
        <f>'DATA SKP'!E14</f>
        <v>Politeknik Perkapalan Negeri Surabaya</v>
      </c>
      <c r="D9" s="234"/>
      <c r="E9" s="87">
        <v>5</v>
      </c>
      <c r="F9" s="228" t="s">
        <v>7</v>
      </c>
      <c r="G9" s="229"/>
      <c r="H9" s="230" t="str">
        <f>'DATA SKP'!E8</f>
        <v>Politeknik Perkapalan Negeri Surabaya</v>
      </c>
      <c r="I9" s="228"/>
      <c r="J9" s="228"/>
      <c r="K9" s="229"/>
    </row>
    <row r="10" spans="1:11" ht="18.75" customHeight="1">
      <c r="A10" s="238" t="s">
        <v>1</v>
      </c>
      <c r="B10" s="238" t="s">
        <v>27</v>
      </c>
      <c r="C10" s="238"/>
      <c r="D10" s="105"/>
      <c r="E10" s="238" t="s">
        <v>21</v>
      </c>
      <c r="F10" s="238" t="s">
        <v>9</v>
      </c>
      <c r="G10" s="238"/>
      <c r="H10" s="238"/>
      <c r="I10" s="238"/>
      <c r="J10" s="238"/>
      <c r="K10" s="238"/>
    </row>
    <row r="11" spans="1:11" ht="18.75" customHeight="1">
      <c r="A11" s="238"/>
      <c r="B11" s="238"/>
      <c r="C11" s="238"/>
      <c r="D11" s="105"/>
      <c r="E11" s="238"/>
      <c r="F11" s="242" t="s">
        <v>24</v>
      </c>
      <c r="G11" s="242"/>
      <c r="H11" s="106" t="s">
        <v>10</v>
      </c>
      <c r="I11" s="242" t="s">
        <v>11</v>
      </c>
      <c r="J11" s="242"/>
      <c r="K11" s="106" t="s">
        <v>12</v>
      </c>
    </row>
    <row r="12" spans="1:11" ht="18.75" customHeight="1">
      <c r="A12" s="183"/>
      <c r="B12" s="168" t="s">
        <v>402</v>
      </c>
      <c r="C12" s="184"/>
      <c r="D12" s="166"/>
      <c r="E12" s="166"/>
      <c r="F12" s="167"/>
      <c r="G12" s="167"/>
      <c r="H12" s="167"/>
      <c r="I12" s="167"/>
      <c r="J12" s="167"/>
      <c r="K12" s="167"/>
    </row>
    <row r="13" spans="1:11" ht="27" customHeight="1">
      <c r="A13" s="115">
        <v>1</v>
      </c>
      <c r="B13" s="235"/>
      <c r="C13" s="241"/>
      <c r="D13" s="169"/>
      <c r="E13" s="169"/>
      <c r="F13" s="124"/>
      <c r="G13" s="125"/>
      <c r="H13" s="162"/>
      <c r="I13" s="124"/>
      <c r="J13" s="112"/>
      <c r="K13" s="96"/>
    </row>
    <row r="14" spans="1:11" ht="27" customHeight="1">
      <c r="A14" s="115">
        <v>2</v>
      </c>
      <c r="B14" s="235"/>
      <c r="C14" s="241"/>
      <c r="D14" s="169"/>
      <c r="E14" s="169"/>
      <c r="F14" s="124"/>
      <c r="G14" s="125"/>
      <c r="H14" s="162"/>
      <c r="I14" s="124"/>
      <c r="J14" s="112"/>
      <c r="K14" s="96"/>
    </row>
    <row r="15" spans="1:11" ht="27" customHeight="1">
      <c r="A15" s="115">
        <v>3</v>
      </c>
      <c r="B15" s="235"/>
      <c r="C15" s="241"/>
      <c r="D15" s="169"/>
      <c r="E15" s="169"/>
      <c r="F15" s="124"/>
      <c r="G15" s="125"/>
      <c r="H15" s="162"/>
      <c r="I15" s="124"/>
      <c r="J15" s="112"/>
      <c r="K15" s="96"/>
    </row>
    <row r="16" spans="1:11" ht="27" customHeight="1">
      <c r="A16" s="115">
        <v>4</v>
      </c>
      <c r="B16" s="235"/>
      <c r="C16" s="241"/>
      <c r="D16" s="169"/>
      <c r="E16" s="169"/>
      <c r="F16" s="124"/>
      <c r="G16" s="125"/>
      <c r="H16" s="162"/>
      <c r="I16" s="124"/>
      <c r="J16" s="112"/>
      <c r="K16" s="96"/>
    </row>
    <row r="17" spans="1:11" ht="27" customHeight="1">
      <c r="A17" s="115">
        <v>5</v>
      </c>
      <c r="B17" s="235"/>
      <c r="C17" s="241"/>
      <c r="D17" s="169"/>
      <c r="E17" s="169"/>
      <c r="F17" s="124"/>
      <c r="G17" s="125"/>
      <c r="H17" s="162"/>
      <c r="I17" s="124"/>
      <c r="J17" s="169"/>
      <c r="K17" s="96"/>
    </row>
    <row r="18" spans="1:11" ht="27" customHeight="1">
      <c r="A18" s="115">
        <v>6</v>
      </c>
      <c r="B18" s="235"/>
      <c r="C18" s="241"/>
      <c r="D18" s="186"/>
      <c r="E18" s="186"/>
      <c r="F18" s="124"/>
      <c r="G18" s="125"/>
      <c r="H18" s="162"/>
      <c r="I18" s="124"/>
      <c r="J18" s="186"/>
      <c r="K18" s="96"/>
    </row>
    <row r="19" spans="1:11" ht="27" customHeight="1">
      <c r="A19" s="115">
        <v>7</v>
      </c>
      <c r="B19" s="235"/>
      <c r="C19" s="241"/>
      <c r="D19" s="186"/>
      <c r="E19" s="186"/>
      <c r="F19" s="124"/>
      <c r="G19" s="125"/>
      <c r="H19" s="162"/>
      <c r="I19" s="124"/>
      <c r="J19" s="186"/>
      <c r="K19" s="96"/>
    </row>
    <row r="20" spans="1:11" ht="27" customHeight="1">
      <c r="A20" s="115">
        <v>8</v>
      </c>
      <c r="B20" s="235"/>
      <c r="C20" s="241"/>
      <c r="D20" s="186"/>
      <c r="E20" s="186"/>
      <c r="F20" s="124"/>
      <c r="G20" s="125"/>
      <c r="H20" s="162"/>
      <c r="I20" s="124"/>
      <c r="J20" s="186"/>
      <c r="K20" s="96"/>
    </row>
    <row r="21" spans="1:11" ht="27" customHeight="1">
      <c r="A21" s="115">
        <v>9</v>
      </c>
      <c r="B21" s="235"/>
      <c r="C21" s="241"/>
      <c r="D21" s="186"/>
      <c r="E21" s="186"/>
      <c r="F21" s="124"/>
      <c r="G21" s="125"/>
      <c r="H21" s="162"/>
      <c r="I21" s="124"/>
      <c r="J21" s="186"/>
      <c r="K21" s="96"/>
    </row>
    <row r="22" spans="1:11" ht="27" customHeight="1">
      <c r="A22" s="115">
        <v>10</v>
      </c>
      <c r="B22" s="235"/>
      <c r="C22" s="241"/>
      <c r="D22" s="169"/>
      <c r="E22" s="169"/>
      <c r="F22" s="124"/>
      <c r="G22" s="125"/>
      <c r="H22" s="162"/>
      <c r="I22" s="124"/>
      <c r="J22" s="112"/>
      <c r="K22" s="96"/>
    </row>
    <row r="23" spans="1:11" ht="27" customHeight="1">
      <c r="A23" s="115">
        <v>11</v>
      </c>
      <c r="B23" s="235"/>
      <c r="C23" s="241"/>
      <c r="D23" s="169"/>
      <c r="E23" s="169"/>
      <c r="F23" s="124"/>
      <c r="G23" s="125"/>
      <c r="H23" s="162"/>
      <c r="I23" s="124"/>
      <c r="J23" s="169"/>
      <c r="K23" s="96"/>
    </row>
    <row r="24" spans="1:11" ht="27" customHeight="1">
      <c r="A24" s="115">
        <v>12</v>
      </c>
      <c r="B24" s="235"/>
      <c r="C24" s="241"/>
      <c r="D24" s="169"/>
      <c r="E24" s="169"/>
      <c r="F24" s="124"/>
      <c r="G24" s="125"/>
      <c r="H24" s="162"/>
      <c r="I24" s="124"/>
      <c r="J24" s="112"/>
      <c r="K24" s="96"/>
    </row>
    <row r="25" spans="1:11" ht="27" customHeight="1">
      <c r="A25" s="115">
        <v>13</v>
      </c>
      <c r="B25" s="188"/>
      <c r="C25" s="190"/>
      <c r="D25" s="189"/>
      <c r="E25" s="189"/>
      <c r="F25" s="124"/>
      <c r="G25" s="125"/>
      <c r="H25" s="162"/>
      <c r="I25" s="124"/>
      <c r="J25" s="189"/>
      <c r="K25" s="96"/>
    </row>
    <row r="26" spans="1:11" ht="27" customHeight="1">
      <c r="A26" s="115"/>
      <c r="B26" s="235" t="s">
        <v>403</v>
      </c>
      <c r="C26" s="236"/>
      <c r="D26" s="2"/>
      <c r="E26" s="169">
        <f>SUM(E13:E25)</f>
        <v>0</v>
      </c>
      <c r="F26" s="124"/>
      <c r="G26" s="125"/>
      <c r="H26" s="162"/>
      <c r="I26" s="124"/>
      <c r="J26" s="169"/>
      <c r="K26" s="96"/>
    </row>
    <row r="27" spans="1:11" ht="18" customHeight="1">
      <c r="A27" s="99"/>
      <c r="B27" s="100"/>
      <c r="C27" s="100"/>
      <c r="D27" s="15"/>
      <c r="E27" s="99"/>
      <c r="F27" s="99"/>
      <c r="G27" s="100"/>
      <c r="H27" s="101"/>
      <c r="I27" s="99"/>
      <c r="J27" s="99"/>
      <c r="K27" s="102"/>
    </row>
    <row r="28" spans="1:11" ht="12" customHeight="1">
      <c r="G28" s="239" t="s">
        <v>498</v>
      </c>
      <c r="H28" s="239"/>
      <c r="I28" s="239"/>
      <c r="J28" s="239"/>
      <c r="K28" s="239"/>
    </row>
    <row r="29" spans="1:11" ht="12" customHeight="1">
      <c r="A29" s="239" t="s">
        <v>26</v>
      </c>
      <c r="B29" s="239"/>
      <c r="C29" s="239"/>
      <c r="D29" s="108"/>
      <c r="E29" s="59"/>
      <c r="F29" s="107"/>
      <c r="G29" s="239" t="s">
        <v>13</v>
      </c>
      <c r="H29" s="239"/>
      <c r="I29" s="239"/>
      <c r="J29" s="239"/>
      <c r="K29" s="239"/>
    </row>
    <row r="30" spans="1:11" ht="42" customHeight="1"/>
    <row r="31" spans="1:11" s="91" customFormat="1" ht="12" customHeight="1">
      <c r="A31" s="240" t="str">
        <f>C5</f>
        <v>George Endri Kusuma, ST., MSc.Eng.</v>
      </c>
      <c r="B31" s="240"/>
      <c r="C31" s="240"/>
      <c r="D31" s="89"/>
      <c r="E31" s="89"/>
      <c r="F31" s="90"/>
      <c r="G31" s="240" t="str">
        <f>H5</f>
        <v>Wiediartini, SE., MT.</v>
      </c>
      <c r="H31" s="240"/>
      <c r="I31" s="240"/>
      <c r="J31" s="240"/>
      <c r="K31" s="240"/>
    </row>
    <row r="32" spans="1:11" ht="12" customHeight="1">
      <c r="A32" s="239" t="str">
        <f>C6</f>
        <v>197605172009121003</v>
      </c>
      <c r="B32" s="239"/>
      <c r="C32" s="239"/>
      <c r="D32" s="59"/>
      <c r="E32" s="59"/>
      <c r="G32" s="239" t="str">
        <f>H6</f>
        <v>197604222009122003</v>
      </c>
      <c r="H32" s="239"/>
      <c r="I32" s="239"/>
      <c r="J32" s="239"/>
      <c r="K32" s="239"/>
    </row>
    <row r="33" spans="1:6" ht="18" customHeight="1"/>
    <row r="34" spans="1:6">
      <c r="A34" s="237" t="s">
        <v>22</v>
      </c>
      <c r="B34" s="237"/>
      <c r="C34" s="237"/>
      <c r="D34" s="237"/>
      <c r="E34" s="237"/>
      <c r="F34" s="108"/>
    </row>
    <row r="35" spans="1:6">
      <c r="A35" s="237" t="s">
        <v>23</v>
      </c>
      <c r="B35" s="237"/>
      <c r="C35" s="237"/>
      <c r="D35" s="237"/>
      <c r="E35" s="237"/>
      <c r="F35" s="108"/>
    </row>
  </sheetData>
  <sheetProtection password="CF7A" sheet="1" objects="1" scenarios="1"/>
  <protectedRanges>
    <protectedRange sqref="A13:K26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31:K31"/>
    <mergeCell ref="G32:K32"/>
    <mergeCell ref="G29:K29"/>
    <mergeCell ref="G28:K28"/>
    <mergeCell ref="B10:C11"/>
    <mergeCell ref="I11:J11"/>
    <mergeCell ref="B15:C15"/>
    <mergeCell ref="B24:C24"/>
    <mergeCell ref="E10:E11"/>
    <mergeCell ref="F10:K10"/>
    <mergeCell ref="F11:G11"/>
    <mergeCell ref="B17:C17"/>
    <mergeCell ref="B23:C23"/>
    <mergeCell ref="B18:C18"/>
    <mergeCell ref="B19:C19"/>
    <mergeCell ref="B20:C20"/>
    <mergeCell ref="C7:D7"/>
    <mergeCell ref="C8:D8"/>
    <mergeCell ref="C9:D9"/>
    <mergeCell ref="B26:C26"/>
    <mergeCell ref="A35:E35"/>
    <mergeCell ref="A10:A11"/>
    <mergeCell ref="A29:C29"/>
    <mergeCell ref="A31:C31"/>
    <mergeCell ref="A32:C32"/>
    <mergeCell ref="A34:E34"/>
    <mergeCell ref="B13:C13"/>
    <mergeCell ref="B14:C14"/>
    <mergeCell ref="B16:C16"/>
    <mergeCell ref="B22:C22"/>
    <mergeCell ref="B21:C21"/>
    <mergeCell ref="H7:K7"/>
    <mergeCell ref="F7:G7"/>
    <mergeCell ref="F9:G9"/>
    <mergeCell ref="H9:K9"/>
    <mergeCell ref="F8:G8"/>
    <mergeCell ref="H8:K8"/>
  </mergeCells>
  <phoneticPr fontId="2" type="noConversion"/>
  <printOptions horizontalCentered="1"/>
  <pageMargins left="0.25" right="0.25" top="0.75" bottom="0" header="0.25" footer="0.25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90" zoomScaleNormal="90" workbookViewId="0">
      <selection activeCell="B13" sqref="B13"/>
    </sheetView>
  </sheetViews>
  <sheetFormatPr defaultColWidth="9.140625" defaultRowHeight="12.75"/>
  <cols>
    <col min="1" max="1" width="4.28515625" style="1" customWidth="1"/>
    <col min="2" max="2" width="43.85546875" style="1" customWidth="1"/>
    <col min="3" max="3" width="6.140625" style="1" bestFit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5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22" width="7" style="1" hidden="1" customWidth="1"/>
    <col min="23" max="33" width="7.5703125" style="1" hidden="1" customWidth="1"/>
    <col min="34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68" t="s">
        <v>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41" ht="15.75">
      <c r="A2" s="268" t="s">
        <v>56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41" ht="16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41" ht="14.25" customHeight="1">
      <c r="A4" s="15" t="s">
        <v>104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41" ht="14.25" customHeight="1">
      <c r="A5" s="1" t="s">
        <v>502</v>
      </c>
      <c r="B5" s="15"/>
      <c r="C5" s="15"/>
      <c r="D5" s="15"/>
      <c r="E5" s="15"/>
      <c r="F5" s="15"/>
    </row>
    <row r="6" spans="1:41" ht="13.5" customHeight="1">
      <c r="A6" s="238" t="s">
        <v>1</v>
      </c>
      <c r="B6" s="267" t="s">
        <v>105</v>
      </c>
      <c r="C6" s="267" t="s">
        <v>21</v>
      </c>
      <c r="D6" s="238" t="s">
        <v>9</v>
      </c>
      <c r="E6" s="238"/>
      <c r="F6" s="238"/>
      <c r="G6" s="238"/>
      <c r="H6" s="238"/>
      <c r="I6" s="238"/>
      <c r="J6" s="238" t="s">
        <v>21</v>
      </c>
      <c r="K6" s="238" t="s">
        <v>14</v>
      </c>
      <c r="L6" s="238"/>
      <c r="M6" s="238"/>
      <c r="N6" s="238"/>
      <c r="O6" s="238"/>
      <c r="P6" s="238"/>
      <c r="Q6" s="242" t="s">
        <v>15</v>
      </c>
      <c r="R6" s="267" t="s">
        <v>20</v>
      </c>
      <c r="AB6" s="30"/>
      <c r="AC6" s="30"/>
      <c r="AD6" s="30"/>
      <c r="AE6" s="30"/>
      <c r="AF6" s="30"/>
      <c r="AG6" s="30"/>
      <c r="AH6" s="30"/>
      <c r="AI6" s="30"/>
      <c r="AJ6" s="30"/>
    </row>
    <row r="7" spans="1:41" s="69" customFormat="1" ht="24">
      <c r="A7" s="238"/>
      <c r="B7" s="267"/>
      <c r="C7" s="267"/>
      <c r="D7" s="269" t="s">
        <v>25</v>
      </c>
      <c r="E7" s="269"/>
      <c r="F7" s="194" t="s">
        <v>91</v>
      </c>
      <c r="G7" s="269" t="s">
        <v>16</v>
      </c>
      <c r="H7" s="269"/>
      <c r="I7" s="194" t="s">
        <v>17</v>
      </c>
      <c r="J7" s="238"/>
      <c r="K7" s="269" t="s">
        <v>25</v>
      </c>
      <c r="L7" s="269"/>
      <c r="M7" s="194" t="s">
        <v>91</v>
      </c>
      <c r="N7" s="269" t="s">
        <v>16</v>
      </c>
      <c r="O7" s="269"/>
      <c r="P7" s="194" t="s">
        <v>17</v>
      </c>
      <c r="Q7" s="242"/>
      <c r="R7" s="267"/>
      <c r="W7" s="69" t="s">
        <v>33</v>
      </c>
      <c r="X7" s="69" t="s">
        <v>34</v>
      </c>
      <c r="Y7" s="69" t="s">
        <v>28</v>
      </c>
      <c r="Z7" s="69" t="s">
        <v>29</v>
      </c>
      <c r="AA7" s="69" t="s">
        <v>30</v>
      </c>
      <c r="AB7" s="69" t="s">
        <v>31</v>
      </c>
      <c r="AC7" s="69" t="s">
        <v>36</v>
      </c>
      <c r="AD7" s="69" t="s">
        <v>37</v>
      </c>
      <c r="AE7" s="69" t="s">
        <v>38</v>
      </c>
      <c r="AF7" s="69" t="s">
        <v>39</v>
      </c>
    </row>
    <row r="8" spans="1:41" s="88" customFormat="1" ht="10.5">
      <c r="A8" s="142">
        <v>1</v>
      </c>
      <c r="B8" s="195">
        <v>2</v>
      </c>
      <c r="C8" s="195">
        <v>3</v>
      </c>
      <c r="D8" s="256">
        <v>4</v>
      </c>
      <c r="E8" s="256"/>
      <c r="F8" s="195">
        <v>5</v>
      </c>
      <c r="G8" s="256">
        <v>6</v>
      </c>
      <c r="H8" s="256"/>
      <c r="I8" s="195">
        <v>7</v>
      </c>
      <c r="J8" s="195">
        <v>8</v>
      </c>
      <c r="K8" s="256">
        <v>9</v>
      </c>
      <c r="L8" s="256"/>
      <c r="M8" s="195">
        <v>10</v>
      </c>
      <c r="N8" s="256">
        <v>11</v>
      </c>
      <c r="O8" s="256"/>
      <c r="P8" s="195">
        <v>12</v>
      </c>
      <c r="Q8" s="195">
        <v>13</v>
      </c>
      <c r="R8" s="195">
        <v>14</v>
      </c>
    </row>
    <row r="9" spans="1:41" ht="29.25" customHeight="1">
      <c r="A9" s="28">
        <f>'FORM SKP'!A13:C13</f>
        <v>1</v>
      </c>
      <c r="B9" s="198">
        <f>'FORM SKP'!B13:C13</f>
        <v>0</v>
      </c>
      <c r="C9" s="206">
        <f>'FORM SKP'!E13</f>
        <v>0</v>
      </c>
      <c r="D9" s="203">
        <f>'FORM SKP'!F13</f>
        <v>0</v>
      </c>
      <c r="E9" s="204">
        <f>'FORM SKP'!G13</f>
        <v>0</v>
      </c>
      <c r="F9" s="204">
        <f>'FORM SKP'!H13</f>
        <v>0</v>
      </c>
      <c r="G9" s="204">
        <f>'FORM SKP'!I13</f>
        <v>0</v>
      </c>
      <c r="H9" s="205">
        <f>'FORM SKP'!J13</f>
        <v>0</v>
      </c>
      <c r="I9" s="36"/>
      <c r="J9" s="206">
        <f t="shared" ref="J9:J21" si="0">C9</f>
        <v>0</v>
      </c>
      <c r="K9" s="159"/>
      <c r="L9" s="202">
        <f>E9</f>
        <v>0</v>
      </c>
      <c r="M9" s="185"/>
      <c r="N9" s="200">
        <f>G9</f>
        <v>0</v>
      </c>
      <c r="O9" s="201">
        <f>H9</f>
        <v>0</v>
      </c>
      <c r="P9" s="67"/>
      <c r="Q9" s="199">
        <f>AG9</f>
        <v>0</v>
      </c>
      <c r="R9" s="199">
        <f>IF(P9="",Q9/3,Q9/4)</f>
        <v>0</v>
      </c>
      <c r="T9" s="1">
        <f>IF(D9&gt;0,1,0)</f>
        <v>0</v>
      </c>
      <c r="U9" s="1">
        <f>IFERROR(R9,0)</f>
        <v>0</v>
      </c>
      <c r="W9" s="1" t="str">
        <f>IFERROR(100-(N9/G9*100),"")</f>
        <v/>
      </c>
      <c r="X9" s="29" t="str">
        <f>IFERROR(100-(P9/I9*100),"")</f>
        <v/>
      </c>
      <c r="Y9" s="1" t="str">
        <f>IFERROR(K9/D9*100,"")</f>
        <v/>
      </c>
      <c r="Z9" s="1" t="str">
        <f>IFERROR(M9/F9*100,"")</f>
        <v/>
      </c>
      <c r="AA9" s="30" t="str">
        <f>IF(W9&gt;24,AD9,AC9)</f>
        <v/>
      </c>
      <c r="AB9" s="30" t="e">
        <f>IF(X9&gt;24,AF9,AE9)</f>
        <v>#DIV/0!</v>
      </c>
      <c r="AC9" s="1" t="str">
        <f>IFERROR(((1.76*G9-N9)/G9)*100,"")</f>
        <v/>
      </c>
      <c r="AD9" s="1" t="str">
        <f>IFERROR(76-((((1.76*G9-N9)/G9)*100)-100),"")</f>
        <v/>
      </c>
      <c r="AE9" s="1" t="e">
        <f>((1.76*I9-P9)/I9)*100</f>
        <v>#DIV/0!</v>
      </c>
      <c r="AF9" s="1" t="e">
        <f>76-((((1.76*I9-P9)/I9)*100)-100)</f>
        <v>#DIV/0!</v>
      </c>
      <c r="AG9" s="1">
        <f>IFERROR(SUM(Y9:AB9),SUM(Y9:AA9))</f>
        <v>0</v>
      </c>
      <c r="AK9" s="31" t="e">
        <f>100-(N9/G9*100)</f>
        <v>#DIV/0!</v>
      </c>
      <c r="AL9" s="18" t="e">
        <f>100-(P9/I9*100)</f>
        <v>#DIV/0!</v>
      </c>
      <c r="AM9" s="30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0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SKP'!A14:C14</f>
        <v>2</v>
      </c>
      <c r="B10" s="198">
        <f>'FORM SKP'!B14:C14</f>
        <v>0</v>
      </c>
      <c r="C10" s="206">
        <f>'FORM SKP'!E14</f>
        <v>0</v>
      </c>
      <c r="D10" s="203">
        <f>'FORM SKP'!F14</f>
        <v>0</v>
      </c>
      <c r="E10" s="204">
        <f>'FORM SKP'!G14</f>
        <v>0</v>
      </c>
      <c r="F10" s="204">
        <f>'FORM SKP'!H14</f>
        <v>0</v>
      </c>
      <c r="G10" s="204">
        <f>'FORM SKP'!I14</f>
        <v>0</v>
      </c>
      <c r="H10" s="205">
        <f>'FORM SKP'!J14</f>
        <v>0</v>
      </c>
      <c r="I10" s="36"/>
      <c r="J10" s="206">
        <f t="shared" si="0"/>
        <v>0</v>
      </c>
      <c r="K10" s="159"/>
      <c r="L10" s="202">
        <f t="shared" ref="L10:L21" si="1">E10</f>
        <v>0</v>
      </c>
      <c r="M10" s="185"/>
      <c r="N10" s="200">
        <f t="shared" ref="N10:N21" si="2">G10</f>
        <v>0</v>
      </c>
      <c r="O10" s="201">
        <f t="shared" ref="O10:O21" si="3">H10</f>
        <v>0</v>
      </c>
      <c r="P10" s="67"/>
      <c r="Q10" s="199">
        <f t="shared" ref="Q10:Q21" si="4">AG10</f>
        <v>0</v>
      </c>
      <c r="R10" s="199">
        <f t="shared" ref="R10:R21" si="5">IF(P10="",Q10/3,Q10/4)</f>
        <v>0</v>
      </c>
      <c r="T10" s="1">
        <f t="shared" ref="T10:T21" si="6">IF(D10&gt;0,1,0)</f>
        <v>0</v>
      </c>
      <c r="U10" s="1">
        <f t="shared" ref="U10:U21" si="7">IFERROR(R10,0)</f>
        <v>0</v>
      </c>
      <c r="W10" s="1" t="str">
        <f t="shared" ref="W10:W21" si="8">IFERROR(100-(N10/G10*100),"")</f>
        <v/>
      </c>
      <c r="X10" s="29" t="str">
        <f t="shared" ref="X10:X21" si="9">IFERROR(100-(P10/I10*100),"")</f>
        <v/>
      </c>
      <c r="Y10" s="1" t="str">
        <f t="shared" ref="Y10:Y21" si="10">IFERROR(K10/D10*100,"")</f>
        <v/>
      </c>
      <c r="Z10" s="1" t="str">
        <f t="shared" ref="Z10:Z21" si="11">IFERROR(M10/F10*100,"")</f>
        <v/>
      </c>
      <c r="AA10" s="30" t="str">
        <f t="shared" ref="AA10:AA21" si="12">IF(W10&gt;24,AD10,AC10)</f>
        <v/>
      </c>
      <c r="AB10" s="30" t="e">
        <f t="shared" ref="AB10:AB21" si="13">IF(X10&gt;24,AF10,AE10)</f>
        <v>#DIV/0!</v>
      </c>
      <c r="AC10" s="1" t="str">
        <f t="shared" ref="AC10:AC21" si="14">IFERROR(((1.76*G10-N10)/G10)*100,"")</f>
        <v/>
      </c>
      <c r="AD10" s="1" t="str">
        <f t="shared" ref="AD10:AD21" si="15">IFERROR(76-((((1.76*G10-N10)/G10)*100)-100),"")</f>
        <v/>
      </c>
      <c r="AE10" s="1" t="e">
        <f t="shared" ref="AE10:AE21" si="16">((1.76*I10-P10)/I10)*100</f>
        <v>#DIV/0!</v>
      </c>
      <c r="AF10" s="1" t="e">
        <f t="shared" ref="AF10:AF21" si="17">76-((((1.76*I10-P10)/I10)*100)-100)</f>
        <v>#DIV/0!</v>
      </c>
      <c r="AG10" s="1">
        <f t="shared" ref="AG10:AG21" si="18">IFERROR(SUM(Y10:AB10),SUM(Y10:AA10))</f>
        <v>0</v>
      </c>
      <c r="AK10" s="31" t="e">
        <f t="shared" ref="AK10:AK21" si="19">100-(N10/G10*100)</f>
        <v>#DIV/0!</v>
      </c>
      <c r="AL10" s="18" t="e">
        <f t="shared" ref="AL10:AL21" si="20">100-(P10/I10*100)</f>
        <v>#DIV/0!</v>
      </c>
      <c r="AM10" s="30" t="e">
        <f t="shared" ref="AM10:AM21" si="21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0" t="e">
        <f t="shared" ref="AN10:AN21" si="22">IF(AK10&gt;24,(((K10/D10*100)+(M10/F10*100)+(76-((((1.76*G10-N10)/G10)*100)-100)))),(((K10/D10*100)+(M10/F10*100)+(((1.76*G10-N10)/G10)*100))))</f>
        <v>#DIV/0!</v>
      </c>
      <c r="AO10" s="1" t="e">
        <f t="shared" ref="AO10:AO21" si="23">IFERROR(AM10,AN10)</f>
        <v>#DIV/0!</v>
      </c>
    </row>
    <row r="11" spans="1:41" ht="29.25" customHeight="1">
      <c r="A11" s="28">
        <f>'FORM SKP'!A15:C15</f>
        <v>3</v>
      </c>
      <c r="B11" s="198">
        <f>'FORM SKP'!B15:C15</f>
        <v>0</v>
      </c>
      <c r="C11" s="206">
        <f>'FORM SKP'!E15</f>
        <v>0</v>
      </c>
      <c r="D11" s="203">
        <f>'FORM SKP'!F15</f>
        <v>0</v>
      </c>
      <c r="E11" s="204">
        <f>'FORM SKP'!G15</f>
        <v>0</v>
      </c>
      <c r="F11" s="204">
        <f>'FORM SKP'!H15</f>
        <v>0</v>
      </c>
      <c r="G11" s="204">
        <f>'FORM SKP'!I15</f>
        <v>0</v>
      </c>
      <c r="H11" s="205">
        <f>'FORM SKP'!J15</f>
        <v>0</v>
      </c>
      <c r="I11" s="36"/>
      <c r="J11" s="206">
        <f t="shared" si="0"/>
        <v>0</v>
      </c>
      <c r="K11" s="159"/>
      <c r="L11" s="202">
        <f t="shared" si="1"/>
        <v>0</v>
      </c>
      <c r="M11" s="185"/>
      <c r="N11" s="200">
        <f t="shared" si="2"/>
        <v>0</v>
      </c>
      <c r="O11" s="201">
        <f t="shared" si="3"/>
        <v>0</v>
      </c>
      <c r="P11" s="67"/>
      <c r="Q11" s="199">
        <f t="shared" si="4"/>
        <v>0</v>
      </c>
      <c r="R11" s="199">
        <f t="shared" si="5"/>
        <v>0</v>
      </c>
      <c r="T11" s="1">
        <f t="shared" si="6"/>
        <v>0</v>
      </c>
      <c r="U11" s="1">
        <f t="shared" si="7"/>
        <v>0</v>
      </c>
      <c r="W11" s="1" t="str">
        <f t="shared" si="8"/>
        <v/>
      </c>
      <c r="X11" s="29" t="str">
        <f t="shared" si="9"/>
        <v/>
      </c>
      <c r="Y11" s="1" t="str">
        <f t="shared" si="10"/>
        <v/>
      </c>
      <c r="Z11" s="1" t="str">
        <f t="shared" si="11"/>
        <v/>
      </c>
      <c r="AA11" s="30" t="str">
        <f t="shared" si="12"/>
        <v/>
      </c>
      <c r="AB11" s="30" t="e">
        <f t="shared" si="13"/>
        <v>#DIV/0!</v>
      </c>
      <c r="AC11" s="1" t="str">
        <f t="shared" si="14"/>
        <v/>
      </c>
      <c r="AD11" s="1" t="str">
        <f t="shared" si="15"/>
        <v/>
      </c>
      <c r="AE11" s="1" t="e">
        <f t="shared" si="16"/>
        <v>#DIV/0!</v>
      </c>
      <c r="AF11" s="1" t="e">
        <f t="shared" si="17"/>
        <v>#DIV/0!</v>
      </c>
      <c r="AG11" s="1">
        <f t="shared" si="18"/>
        <v>0</v>
      </c>
      <c r="AK11" s="31" t="e">
        <f t="shared" si="19"/>
        <v>#DIV/0!</v>
      </c>
      <c r="AL11" s="18" t="e">
        <f t="shared" si="20"/>
        <v>#DIV/0!</v>
      </c>
      <c r="AM11" s="30" t="e">
        <f t="shared" si="21"/>
        <v>#DIV/0!</v>
      </c>
      <c r="AN11" s="30" t="e">
        <f t="shared" si="22"/>
        <v>#DIV/0!</v>
      </c>
      <c r="AO11" s="1" t="e">
        <f t="shared" si="23"/>
        <v>#DIV/0!</v>
      </c>
    </row>
    <row r="12" spans="1:41" ht="29.25" customHeight="1">
      <c r="A12" s="28">
        <f>'FORM SKP'!A16:C16</f>
        <v>4</v>
      </c>
      <c r="B12" s="198">
        <f>'FORM SKP'!B16:C16</f>
        <v>0</v>
      </c>
      <c r="C12" s="206">
        <f>'FORM SKP'!E16</f>
        <v>0</v>
      </c>
      <c r="D12" s="203">
        <f>'FORM SKP'!F16</f>
        <v>0</v>
      </c>
      <c r="E12" s="204">
        <f>'FORM SKP'!G16</f>
        <v>0</v>
      </c>
      <c r="F12" s="204">
        <f>'FORM SKP'!H16</f>
        <v>0</v>
      </c>
      <c r="G12" s="204">
        <f>'FORM SKP'!I16</f>
        <v>0</v>
      </c>
      <c r="H12" s="205">
        <f>'FORM SKP'!J16</f>
        <v>0</v>
      </c>
      <c r="I12" s="36"/>
      <c r="J12" s="206">
        <f t="shared" si="0"/>
        <v>0</v>
      </c>
      <c r="K12" s="159"/>
      <c r="L12" s="202">
        <f t="shared" si="1"/>
        <v>0</v>
      </c>
      <c r="M12" s="185"/>
      <c r="N12" s="200">
        <f t="shared" si="2"/>
        <v>0</v>
      </c>
      <c r="O12" s="201">
        <f t="shared" si="3"/>
        <v>0</v>
      </c>
      <c r="P12" s="67"/>
      <c r="Q12" s="199">
        <f t="shared" si="4"/>
        <v>0</v>
      </c>
      <c r="R12" s="199">
        <f t="shared" si="5"/>
        <v>0</v>
      </c>
      <c r="T12" s="1">
        <f t="shared" si="6"/>
        <v>0</v>
      </c>
      <c r="U12" s="1">
        <f t="shared" si="7"/>
        <v>0</v>
      </c>
      <c r="W12" s="1" t="str">
        <f t="shared" si="8"/>
        <v/>
      </c>
      <c r="X12" s="29" t="str">
        <f t="shared" si="9"/>
        <v/>
      </c>
      <c r="Y12" s="1" t="str">
        <f t="shared" si="10"/>
        <v/>
      </c>
      <c r="Z12" s="1" t="str">
        <f t="shared" si="11"/>
        <v/>
      </c>
      <c r="AA12" s="30" t="str">
        <f t="shared" si="12"/>
        <v/>
      </c>
      <c r="AB12" s="30" t="e">
        <f t="shared" si="13"/>
        <v>#DIV/0!</v>
      </c>
      <c r="AC12" s="1" t="str">
        <f t="shared" si="14"/>
        <v/>
      </c>
      <c r="AD12" s="1" t="str">
        <f t="shared" si="15"/>
        <v/>
      </c>
      <c r="AE12" s="1" t="e">
        <f t="shared" si="16"/>
        <v>#DIV/0!</v>
      </c>
      <c r="AF12" s="1" t="e">
        <f t="shared" si="17"/>
        <v>#DIV/0!</v>
      </c>
      <c r="AG12" s="1">
        <f t="shared" si="18"/>
        <v>0</v>
      </c>
      <c r="AK12" s="31" t="e">
        <f t="shared" si="19"/>
        <v>#DIV/0!</v>
      </c>
      <c r="AL12" s="18" t="e">
        <f t="shared" si="20"/>
        <v>#DIV/0!</v>
      </c>
      <c r="AM12" s="30" t="e">
        <f t="shared" si="21"/>
        <v>#DIV/0!</v>
      </c>
      <c r="AN12" s="30" t="e">
        <f t="shared" si="22"/>
        <v>#DIV/0!</v>
      </c>
      <c r="AO12" s="1" t="e">
        <f t="shared" si="23"/>
        <v>#DIV/0!</v>
      </c>
    </row>
    <row r="13" spans="1:41" ht="29.25" customHeight="1">
      <c r="A13" s="28">
        <f>'FORM SKP'!A17:C17</f>
        <v>5</v>
      </c>
      <c r="B13" s="198">
        <f>'FORM SKP'!B17:C17</f>
        <v>0</v>
      </c>
      <c r="C13" s="206">
        <f>'FORM SKP'!E17</f>
        <v>0</v>
      </c>
      <c r="D13" s="203">
        <f>'FORM SKP'!F17</f>
        <v>0</v>
      </c>
      <c r="E13" s="204">
        <f>'FORM SKP'!G17</f>
        <v>0</v>
      </c>
      <c r="F13" s="204">
        <f>'FORM SKP'!H17</f>
        <v>0</v>
      </c>
      <c r="G13" s="204">
        <f>'FORM SKP'!I17</f>
        <v>0</v>
      </c>
      <c r="H13" s="205">
        <f>'FORM SKP'!J17</f>
        <v>0</v>
      </c>
      <c r="I13" s="36"/>
      <c r="J13" s="206">
        <f t="shared" si="0"/>
        <v>0</v>
      </c>
      <c r="K13" s="159"/>
      <c r="L13" s="202">
        <f t="shared" si="1"/>
        <v>0</v>
      </c>
      <c r="M13" s="185"/>
      <c r="N13" s="200">
        <f t="shared" si="2"/>
        <v>0</v>
      </c>
      <c r="O13" s="201">
        <f t="shared" si="3"/>
        <v>0</v>
      </c>
      <c r="P13" s="67"/>
      <c r="Q13" s="199">
        <f t="shared" si="4"/>
        <v>0</v>
      </c>
      <c r="R13" s="199">
        <f t="shared" si="5"/>
        <v>0</v>
      </c>
      <c r="T13" s="1">
        <f t="shared" ref="T13" si="24">IF(D13&gt;0,1,0)</f>
        <v>0</v>
      </c>
      <c r="U13" s="1">
        <f t="shared" ref="U13" si="25">IFERROR(R13,0)</f>
        <v>0</v>
      </c>
      <c r="W13" s="1" t="str">
        <f t="shared" si="8"/>
        <v/>
      </c>
      <c r="X13" s="29" t="str">
        <f t="shared" si="9"/>
        <v/>
      </c>
      <c r="Y13" s="1" t="str">
        <f t="shared" si="10"/>
        <v/>
      </c>
      <c r="Z13" s="1" t="str">
        <f t="shared" si="11"/>
        <v/>
      </c>
      <c r="AA13" s="30" t="str">
        <f t="shared" si="12"/>
        <v/>
      </c>
      <c r="AB13" s="30" t="e">
        <f t="shared" si="13"/>
        <v>#DIV/0!</v>
      </c>
      <c r="AC13" s="1" t="str">
        <f t="shared" si="14"/>
        <v/>
      </c>
      <c r="AD13" s="1" t="str">
        <f t="shared" si="15"/>
        <v/>
      </c>
      <c r="AE13" s="1" t="e">
        <f t="shared" si="16"/>
        <v>#DIV/0!</v>
      </c>
      <c r="AF13" s="1" t="e">
        <f t="shared" si="17"/>
        <v>#DIV/0!</v>
      </c>
      <c r="AG13" s="1">
        <f t="shared" si="18"/>
        <v>0</v>
      </c>
      <c r="AK13" s="31" t="e">
        <f t="shared" ref="AK13" si="26">100-(N13/G13*100)</f>
        <v>#DIV/0!</v>
      </c>
      <c r="AL13" s="18" t="e">
        <f t="shared" ref="AL13" si="27">100-(P13/I13*100)</f>
        <v>#DIV/0!</v>
      </c>
      <c r="AM13" s="30" t="e">
        <f t="shared" ref="AM13" si="28"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#DIV/0!</v>
      </c>
      <c r="AN13" s="30" t="e">
        <f t="shared" ref="AN13" si="29">IF(AK13&gt;24,(((K13/D13*100)+(M13/F13*100)+(76-((((1.76*G13-N13)/G13)*100)-100)))),(((K13/D13*100)+(M13/F13*100)+(((1.76*G13-N13)/G13)*100))))</f>
        <v>#DIV/0!</v>
      </c>
      <c r="AO13" s="1" t="e">
        <f t="shared" ref="AO13" si="30">IFERROR(AM13,AN13)</f>
        <v>#DIV/0!</v>
      </c>
    </row>
    <row r="14" spans="1:41" ht="29.25" customHeight="1">
      <c r="A14" s="28">
        <f>'FORM SKP'!A18:C18</f>
        <v>6</v>
      </c>
      <c r="B14" s="198">
        <f>'FORM SKP'!B18:C18</f>
        <v>0</v>
      </c>
      <c r="C14" s="206">
        <f>'FORM SKP'!E18</f>
        <v>0</v>
      </c>
      <c r="D14" s="203">
        <f>'FORM SKP'!F18</f>
        <v>0</v>
      </c>
      <c r="E14" s="204">
        <f>'FORM SKP'!G18</f>
        <v>0</v>
      </c>
      <c r="F14" s="204">
        <f>'FORM SKP'!H18</f>
        <v>0</v>
      </c>
      <c r="G14" s="204">
        <f>'FORM SKP'!I18</f>
        <v>0</v>
      </c>
      <c r="H14" s="205">
        <f>'FORM SKP'!J18</f>
        <v>0</v>
      </c>
      <c r="I14" s="36"/>
      <c r="J14" s="206">
        <f t="shared" si="0"/>
        <v>0</v>
      </c>
      <c r="K14" s="159"/>
      <c r="L14" s="202">
        <f t="shared" si="1"/>
        <v>0</v>
      </c>
      <c r="M14" s="185"/>
      <c r="N14" s="200">
        <f t="shared" si="2"/>
        <v>0</v>
      </c>
      <c r="O14" s="201">
        <f t="shared" si="3"/>
        <v>0</v>
      </c>
      <c r="P14" s="67"/>
      <c r="Q14" s="199">
        <f t="shared" si="4"/>
        <v>0</v>
      </c>
      <c r="R14" s="199">
        <f t="shared" si="5"/>
        <v>0</v>
      </c>
      <c r="T14" s="1">
        <f t="shared" si="6"/>
        <v>0</v>
      </c>
      <c r="U14" s="1">
        <f t="shared" si="7"/>
        <v>0</v>
      </c>
      <c r="W14" s="1" t="str">
        <f t="shared" si="8"/>
        <v/>
      </c>
      <c r="X14" s="29" t="str">
        <f t="shared" si="9"/>
        <v/>
      </c>
      <c r="Y14" s="1" t="str">
        <f t="shared" si="10"/>
        <v/>
      </c>
      <c r="Z14" s="1" t="str">
        <f t="shared" si="11"/>
        <v/>
      </c>
      <c r="AA14" s="30" t="str">
        <f t="shared" si="12"/>
        <v/>
      </c>
      <c r="AB14" s="30" t="e">
        <f t="shared" si="13"/>
        <v>#DIV/0!</v>
      </c>
      <c r="AC14" s="1" t="str">
        <f t="shared" si="14"/>
        <v/>
      </c>
      <c r="AD14" s="1" t="str">
        <f t="shared" si="15"/>
        <v/>
      </c>
      <c r="AE14" s="1" t="e">
        <f t="shared" si="16"/>
        <v>#DIV/0!</v>
      </c>
      <c r="AF14" s="1" t="e">
        <f t="shared" si="17"/>
        <v>#DIV/0!</v>
      </c>
      <c r="AG14" s="1">
        <f t="shared" si="18"/>
        <v>0</v>
      </c>
      <c r="AK14" s="31" t="e">
        <f t="shared" si="19"/>
        <v>#DIV/0!</v>
      </c>
      <c r="AL14" s="18" t="e">
        <f t="shared" si="20"/>
        <v>#DIV/0!</v>
      </c>
      <c r="AM14" s="30" t="e">
        <f t="shared" si="21"/>
        <v>#DIV/0!</v>
      </c>
      <c r="AN14" s="30" t="e">
        <f t="shared" si="22"/>
        <v>#DIV/0!</v>
      </c>
      <c r="AO14" s="1" t="e">
        <f t="shared" si="23"/>
        <v>#DIV/0!</v>
      </c>
    </row>
    <row r="15" spans="1:41" ht="29.25" customHeight="1">
      <c r="A15" s="28">
        <f>'FORM SKP'!A19:C19</f>
        <v>7</v>
      </c>
      <c r="B15" s="198">
        <f>'FORM SKP'!B19:C19</f>
        <v>0</v>
      </c>
      <c r="C15" s="206">
        <f>'FORM SKP'!E19</f>
        <v>0</v>
      </c>
      <c r="D15" s="203">
        <f>'FORM SKP'!F19</f>
        <v>0</v>
      </c>
      <c r="E15" s="204">
        <f>'FORM SKP'!G19</f>
        <v>0</v>
      </c>
      <c r="F15" s="204">
        <f>'FORM SKP'!H19</f>
        <v>0</v>
      </c>
      <c r="G15" s="204">
        <f>'FORM SKP'!I19</f>
        <v>0</v>
      </c>
      <c r="H15" s="205">
        <f>'FORM SKP'!J19</f>
        <v>0</v>
      </c>
      <c r="I15" s="36"/>
      <c r="J15" s="206">
        <f t="shared" si="0"/>
        <v>0</v>
      </c>
      <c r="K15" s="159"/>
      <c r="L15" s="202">
        <f t="shared" si="1"/>
        <v>0</v>
      </c>
      <c r="M15" s="185"/>
      <c r="N15" s="200">
        <f t="shared" si="2"/>
        <v>0</v>
      </c>
      <c r="O15" s="201">
        <f t="shared" si="3"/>
        <v>0</v>
      </c>
      <c r="P15" s="67"/>
      <c r="Q15" s="199">
        <f t="shared" si="4"/>
        <v>0</v>
      </c>
      <c r="R15" s="199">
        <f t="shared" si="5"/>
        <v>0</v>
      </c>
      <c r="T15" s="1">
        <f t="shared" ref="T15:T19" si="31">IF(D15&gt;0,1,0)</f>
        <v>0</v>
      </c>
      <c r="U15" s="1">
        <f t="shared" ref="U15:U19" si="32">IFERROR(R15,0)</f>
        <v>0</v>
      </c>
      <c r="W15" s="1" t="str">
        <f t="shared" si="8"/>
        <v/>
      </c>
      <c r="X15" s="29" t="str">
        <f t="shared" si="9"/>
        <v/>
      </c>
      <c r="Y15" s="1" t="str">
        <f t="shared" si="10"/>
        <v/>
      </c>
      <c r="Z15" s="1" t="str">
        <f t="shared" si="11"/>
        <v/>
      </c>
      <c r="AA15" s="30" t="str">
        <f t="shared" si="12"/>
        <v/>
      </c>
      <c r="AB15" s="30" t="e">
        <f t="shared" si="13"/>
        <v>#DIV/0!</v>
      </c>
      <c r="AC15" s="1" t="str">
        <f t="shared" si="14"/>
        <v/>
      </c>
      <c r="AD15" s="1" t="str">
        <f t="shared" si="15"/>
        <v/>
      </c>
      <c r="AE15" s="1" t="e">
        <f t="shared" si="16"/>
        <v>#DIV/0!</v>
      </c>
      <c r="AF15" s="1" t="e">
        <f t="shared" si="17"/>
        <v>#DIV/0!</v>
      </c>
      <c r="AG15" s="1">
        <f t="shared" si="18"/>
        <v>0</v>
      </c>
      <c r="AK15" s="31" t="e">
        <f t="shared" ref="AK15:AK19" si="33">100-(N15/G15*100)</f>
        <v>#DIV/0!</v>
      </c>
      <c r="AL15" s="18" t="e">
        <f t="shared" ref="AL15:AL19" si="34">100-(P15/I15*100)</f>
        <v>#DIV/0!</v>
      </c>
      <c r="AM15" s="30" t="e">
        <f t="shared" ref="AM15:AM19" si="35">IF(AND(AK15&gt;24,AL15&gt;24),(IFERROR(((K15/D15*100)+(M15/F15*100)+(76-((((1.76*G15-N15)/G15)*100)-100))+(76-((((1.76*I15-P15)/I15)*100)-100))),((K15/D15*100)+(M15/F15*100)+(76-((((1.76*G15-N15)/G15)*100)-100))))),(IFERROR(((K15/D15*100)+(M15/F15*100)+(((1.76*G15-N15)/G15)*100))+(((1.76*I15-P15)/I15)*100),((K15/D15*100)+(M15/F15*100)+(((1.76*G15-N15)/G15)*100)))))</f>
        <v>#DIV/0!</v>
      </c>
      <c r="AN15" s="30" t="e">
        <f t="shared" ref="AN15:AN19" si="36">IF(AK15&gt;24,(((K15/D15*100)+(M15/F15*100)+(76-((((1.76*G15-N15)/G15)*100)-100)))),(((K15/D15*100)+(M15/F15*100)+(((1.76*G15-N15)/G15)*100))))</f>
        <v>#DIV/0!</v>
      </c>
      <c r="AO15" s="1" t="e">
        <f t="shared" ref="AO15:AO19" si="37">IFERROR(AM15,AN15)</f>
        <v>#DIV/0!</v>
      </c>
    </row>
    <row r="16" spans="1:41" ht="29.25" customHeight="1">
      <c r="A16" s="28">
        <f>'FORM SKP'!A20:C20</f>
        <v>8</v>
      </c>
      <c r="B16" s="198">
        <f>'FORM SKP'!B20:C20</f>
        <v>0</v>
      </c>
      <c r="C16" s="206">
        <f>'FORM SKP'!E20</f>
        <v>0</v>
      </c>
      <c r="D16" s="203">
        <f>'FORM SKP'!F20</f>
        <v>0</v>
      </c>
      <c r="E16" s="204">
        <f>'FORM SKP'!G20</f>
        <v>0</v>
      </c>
      <c r="F16" s="204">
        <f>'FORM SKP'!H20</f>
        <v>0</v>
      </c>
      <c r="G16" s="204">
        <f>'FORM SKP'!I20</f>
        <v>0</v>
      </c>
      <c r="H16" s="205">
        <f>'FORM SKP'!J20</f>
        <v>0</v>
      </c>
      <c r="I16" s="36"/>
      <c r="J16" s="206">
        <f t="shared" si="0"/>
        <v>0</v>
      </c>
      <c r="K16" s="159"/>
      <c r="L16" s="202">
        <f t="shared" si="1"/>
        <v>0</v>
      </c>
      <c r="M16" s="185"/>
      <c r="N16" s="200">
        <f t="shared" si="2"/>
        <v>0</v>
      </c>
      <c r="O16" s="201">
        <f t="shared" si="3"/>
        <v>0</v>
      </c>
      <c r="P16" s="67"/>
      <c r="Q16" s="199">
        <f t="shared" si="4"/>
        <v>0</v>
      </c>
      <c r="R16" s="199">
        <f t="shared" si="5"/>
        <v>0</v>
      </c>
      <c r="T16" s="1">
        <f t="shared" si="31"/>
        <v>0</v>
      </c>
      <c r="U16" s="1">
        <f t="shared" si="32"/>
        <v>0</v>
      </c>
      <c r="W16" s="1" t="str">
        <f t="shared" si="8"/>
        <v/>
      </c>
      <c r="X16" s="29" t="str">
        <f t="shared" si="9"/>
        <v/>
      </c>
      <c r="Y16" s="1" t="str">
        <f t="shared" si="10"/>
        <v/>
      </c>
      <c r="Z16" s="1" t="str">
        <f t="shared" si="11"/>
        <v/>
      </c>
      <c r="AA16" s="30" t="str">
        <f t="shared" si="12"/>
        <v/>
      </c>
      <c r="AB16" s="30" t="e">
        <f t="shared" si="13"/>
        <v>#DIV/0!</v>
      </c>
      <c r="AC16" s="1" t="str">
        <f t="shared" si="14"/>
        <v/>
      </c>
      <c r="AD16" s="1" t="str">
        <f t="shared" si="15"/>
        <v/>
      </c>
      <c r="AE16" s="1" t="e">
        <f t="shared" si="16"/>
        <v>#DIV/0!</v>
      </c>
      <c r="AF16" s="1" t="e">
        <f t="shared" si="17"/>
        <v>#DIV/0!</v>
      </c>
      <c r="AG16" s="1">
        <f t="shared" si="18"/>
        <v>0</v>
      </c>
      <c r="AK16" s="31" t="e">
        <f t="shared" si="33"/>
        <v>#DIV/0!</v>
      </c>
      <c r="AL16" s="18" t="e">
        <f t="shared" si="34"/>
        <v>#DIV/0!</v>
      </c>
      <c r="AM16" s="30" t="e">
        <f t="shared" si="35"/>
        <v>#DIV/0!</v>
      </c>
      <c r="AN16" s="30" t="e">
        <f t="shared" si="36"/>
        <v>#DIV/0!</v>
      </c>
      <c r="AO16" s="1" t="e">
        <f t="shared" si="37"/>
        <v>#DIV/0!</v>
      </c>
    </row>
    <row r="17" spans="1:41" ht="29.25" customHeight="1">
      <c r="A17" s="28">
        <f>'FORM SKP'!A21:C21</f>
        <v>9</v>
      </c>
      <c r="B17" s="198">
        <f>'FORM SKP'!B21:C21</f>
        <v>0</v>
      </c>
      <c r="C17" s="206">
        <f>'FORM SKP'!E21</f>
        <v>0</v>
      </c>
      <c r="D17" s="203">
        <f>'FORM SKP'!F21</f>
        <v>0</v>
      </c>
      <c r="E17" s="204">
        <f>'FORM SKP'!G21</f>
        <v>0</v>
      </c>
      <c r="F17" s="204">
        <f>'FORM SKP'!H21</f>
        <v>0</v>
      </c>
      <c r="G17" s="204">
        <f>'FORM SKP'!I21</f>
        <v>0</v>
      </c>
      <c r="H17" s="205">
        <f>'FORM SKP'!J21</f>
        <v>0</v>
      </c>
      <c r="I17" s="36"/>
      <c r="J17" s="206">
        <f t="shared" si="0"/>
        <v>0</v>
      </c>
      <c r="K17" s="159"/>
      <c r="L17" s="202">
        <f t="shared" si="1"/>
        <v>0</v>
      </c>
      <c r="M17" s="185"/>
      <c r="N17" s="200">
        <f t="shared" si="2"/>
        <v>0</v>
      </c>
      <c r="O17" s="201">
        <f t="shared" si="3"/>
        <v>0</v>
      </c>
      <c r="P17" s="67"/>
      <c r="Q17" s="199">
        <f t="shared" si="4"/>
        <v>0</v>
      </c>
      <c r="R17" s="199">
        <f t="shared" si="5"/>
        <v>0</v>
      </c>
      <c r="T17" s="1">
        <f t="shared" si="31"/>
        <v>0</v>
      </c>
      <c r="U17" s="1">
        <f t="shared" si="32"/>
        <v>0</v>
      </c>
      <c r="W17" s="1" t="str">
        <f t="shared" si="8"/>
        <v/>
      </c>
      <c r="X17" s="29" t="str">
        <f t="shared" si="9"/>
        <v/>
      </c>
      <c r="Y17" s="1" t="str">
        <f t="shared" si="10"/>
        <v/>
      </c>
      <c r="Z17" s="1" t="str">
        <f t="shared" si="11"/>
        <v/>
      </c>
      <c r="AA17" s="30" t="str">
        <f t="shared" si="12"/>
        <v/>
      </c>
      <c r="AB17" s="30" t="e">
        <f t="shared" si="13"/>
        <v>#DIV/0!</v>
      </c>
      <c r="AC17" s="1" t="str">
        <f t="shared" si="14"/>
        <v/>
      </c>
      <c r="AD17" s="1" t="str">
        <f t="shared" si="15"/>
        <v/>
      </c>
      <c r="AE17" s="1" t="e">
        <f t="shared" si="16"/>
        <v>#DIV/0!</v>
      </c>
      <c r="AF17" s="1" t="e">
        <f t="shared" si="17"/>
        <v>#DIV/0!</v>
      </c>
      <c r="AG17" s="1">
        <f t="shared" si="18"/>
        <v>0</v>
      </c>
      <c r="AK17" s="31" t="e">
        <f t="shared" si="33"/>
        <v>#DIV/0!</v>
      </c>
      <c r="AL17" s="18" t="e">
        <f t="shared" si="34"/>
        <v>#DIV/0!</v>
      </c>
      <c r="AM17" s="30" t="e">
        <f t="shared" si="35"/>
        <v>#DIV/0!</v>
      </c>
      <c r="AN17" s="30" t="e">
        <f t="shared" si="36"/>
        <v>#DIV/0!</v>
      </c>
      <c r="AO17" s="1" t="e">
        <f t="shared" si="37"/>
        <v>#DIV/0!</v>
      </c>
    </row>
    <row r="18" spans="1:41" ht="29.25" customHeight="1">
      <c r="A18" s="28">
        <f>'FORM SKP'!A22:C22</f>
        <v>10</v>
      </c>
      <c r="B18" s="198">
        <f>'FORM SKP'!B22:C22</f>
        <v>0</v>
      </c>
      <c r="C18" s="206">
        <f>'FORM SKP'!E22</f>
        <v>0</v>
      </c>
      <c r="D18" s="203">
        <f>'FORM SKP'!F22</f>
        <v>0</v>
      </c>
      <c r="E18" s="204">
        <f>'FORM SKP'!G22</f>
        <v>0</v>
      </c>
      <c r="F18" s="204">
        <f>'FORM SKP'!H22</f>
        <v>0</v>
      </c>
      <c r="G18" s="204">
        <f>'FORM SKP'!I22</f>
        <v>0</v>
      </c>
      <c r="H18" s="205">
        <f>'FORM SKP'!J22</f>
        <v>0</v>
      </c>
      <c r="I18" s="36"/>
      <c r="J18" s="206">
        <f t="shared" si="0"/>
        <v>0</v>
      </c>
      <c r="K18" s="159"/>
      <c r="L18" s="202">
        <f t="shared" si="1"/>
        <v>0</v>
      </c>
      <c r="M18" s="185"/>
      <c r="N18" s="200">
        <f t="shared" si="2"/>
        <v>0</v>
      </c>
      <c r="O18" s="201">
        <f t="shared" si="3"/>
        <v>0</v>
      </c>
      <c r="P18" s="67"/>
      <c r="Q18" s="199">
        <f t="shared" si="4"/>
        <v>0</v>
      </c>
      <c r="R18" s="199">
        <f t="shared" si="5"/>
        <v>0</v>
      </c>
      <c r="T18" s="1">
        <f t="shared" si="31"/>
        <v>0</v>
      </c>
      <c r="U18" s="1">
        <f t="shared" si="32"/>
        <v>0</v>
      </c>
      <c r="W18" s="1" t="str">
        <f t="shared" si="8"/>
        <v/>
      </c>
      <c r="X18" s="29" t="str">
        <f t="shared" si="9"/>
        <v/>
      </c>
      <c r="Y18" s="1" t="str">
        <f t="shared" si="10"/>
        <v/>
      </c>
      <c r="Z18" s="1" t="str">
        <f t="shared" si="11"/>
        <v/>
      </c>
      <c r="AA18" s="30" t="str">
        <f t="shared" si="12"/>
        <v/>
      </c>
      <c r="AB18" s="30" t="e">
        <f t="shared" si="13"/>
        <v>#DIV/0!</v>
      </c>
      <c r="AC18" s="1" t="str">
        <f t="shared" si="14"/>
        <v/>
      </c>
      <c r="AD18" s="1" t="str">
        <f t="shared" si="15"/>
        <v/>
      </c>
      <c r="AE18" s="1" t="e">
        <f t="shared" si="16"/>
        <v>#DIV/0!</v>
      </c>
      <c r="AF18" s="1" t="e">
        <f t="shared" si="17"/>
        <v>#DIV/0!</v>
      </c>
      <c r="AG18" s="1">
        <f t="shared" si="18"/>
        <v>0</v>
      </c>
      <c r="AK18" s="31" t="e">
        <f t="shared" si="33"/>
        <v>#DIV/0!</v>
      </c>
      <c r="AL18" s="18" t="e">
        <f t="shared" si="34"/>
        <v>#DIV/0!</v>
      </c>
      <c r="AM18" s="30" t="e">
        <f t="shared" si="35"/>
        <v>#DIV/0!</v>
      </c>
      <c r="AN18" s="30" t="e">
        <f t="shared" si="36"/>
        <v>#DIV/0!</v>
      </c>
      <c r="AO18" s="1" t="e">
        <f t="shared" si="37"/>
        <v>#DIV/0!</v>
      </c>
    </row>
    <row r="19" spans="1:41" ht="29.25" customHeight="1">
      <c r="A19" s="28">
        <f>'FORM SKP'!A23:C23</f>
        <v>11</v>
      </c>
      <c r="B19" s="198">
        <f>'FORM SKP'!B23:C23</f>
        <v>0</v>
      </c>
      <c r="C19" s="206">
        <f>'FORM SKP'!E23</f>
        <v>0</v>
      </c>
      <c r="D19" s="203">
        <f>'FORM SKP'!F23</f>
        <v>0</v>
      </c>
      <c r="E19" s="204">
        <f>'FORM SKP'!G23</f>
        <v>0</v>
      </c>
      <c r="F19" s="204">
        <f>'FORM SKP'!H23</f>
        <v>0</v>
      </c>
      <c r="G19" s="204">
        <f>'FORM SKP'!I23</f>
        <v>0</v>
      </c>
      <c r="H19" s="205">
        <f>'FORM SKP'!J23</f>
        <v>0</v>
      </c>
      <c r="I19" s="36"/>
      <c r="J19" s="206">
        <f t="shared" si="0"/>
        <v>0</v>
      </c>
      <c r="K19" s="159"/>
      <c r="L19" s="202">
        <f t="shared" si="1"/>
        <v>0</v>
      </c>
      <c r="M19" s="185"/>
      <c r="N19" s="200">
        <f t="shared" si="2"/>
        <v>0</v>
      </c>
      <c r="O19" s="201">
        <f t="shared" si="3"/>
        <v>0</v>
      </c>
      <c r="P19" s="67"/>
      <c r="Q19" s="199">
        <f t="shared" si="4"/>
        <v>0</v>
      </c>
      <c r="R19" s="199">
        <f t="shared" si="5"/>
        <v>0</v>
      </c>
      <c r="T19" s="1">
        <f t="shared" si="31"/>
        <v>0</v>
      </c>
      <c r="U19" s="1">
        <f t="shared" si="32"/>
        <v>0</v>
      </c>
      <c r="W19" s="1" t="str">
        <f t="shared" si="8"/>
        <v/>
      </c>
      <c r="X19" s="29" t="str">
        <f t="shared" si="9"/>
        <v/>
      </c>
      <c r="Y19" s="1" t="str">
        <f t="shared" si="10"/>
        <v/>
      </c>
      <c r="Z19" s="1" t="str">
        <f t="shared" si="11"/>
        <v/>
      </c>
      <c r="AA19" s="30" t="str">
        <f t="shared" si="12"/>
        <v/>
      </c>
      <c r="AB19" s="30" t="e">
        <f t="shared" si="13"/>
        <v>#DIV/0!</v>
      </c>
      <c r="AC19" s="1" t="str">
        <f t="shared" si="14"/>
        <v/>
      </c>
      <c r="AD19" s="1" t="str">
        <f t="shared" si="15"/>
        <v/>
      </c>
      <c r="AE19" s="1" t="e">
        <f t="shared" si="16"/>
        <v>#DIV/0!</v>
      </c>
      <c r="AF19" s="1" t="e">
        <f t="shared" si="17"/>
        <v>#DIV/0!</v>
      </c>
      <c r="AG19" s="1">
        <f t="shared" si="18"/>
        <v>0</v>
      </c>
      <c r="AK19" s="31" t="e">
        <f t="shared" si="33"/>
        <v>#DIV/0!</v>
      </c>
      <c r="AL19" s="18" t="e">
        <f t="shared" si="34"/>
        <v>#DIV/0!</v>
      </c>
      <c r="AM19" s="30" t="e">
        <f t="shared" si="35"/>
        <v>#DIV/0!</v>
      </c>
      <c r="AN19" s="30" t="e">
        <f t="shared" si="36"/>
        <v>#DIV/0!</v>
      </c>
      <c r="AO19" s="1" t="e">
        <f t="shared" si="37"/>
        <v>#DIV/0!</v>
      </c>
    </row>
    <row r="20" spans="1:41" ht="29.25" customHeight="1">
      <c r="A20" s="28">
        <f>'FORM SKP'!A24:C24</f>
        <v>12</v>
      </c>
      <c r="B20" s="198">
        <f>'FORM SKP'!B24:C24</f>
        <v>0</v>
      </c>
      <c r="C20" s="206">
        <f>'FORM SKP'!E24</f>
        <v>0</v>
      </c>
      <c r="D20" s="203">
        <f>'FORM SKP'!F24</f>
        <v>0</v>
      </c>
      <c r="E20" s="204">
        <f>'FORM SKP'!G24</f>
        <v>0</v>
      </c>
      <c r="F20" s="204">
        <f>'FORM SKP'!H24</f>
        <v>0</v>
      </c>
      <c r="G20" s="204">
        <f>'FORM SKP'!I24</f>
        <v>0</v>
      </c>
      <c r="H20" s="205">
        <f>'FORM SKP'!J24</f>
        <v>0</v>
      </c>
      <c r="I20" s="36"/>
      <c r="J20" s="206">
        <f t="shared" si="0"/>
        <v>0</v>
      </c>
      <c r="K20" s="159"/>
      <c r="L20" s="202">
        <f t="shared" si="1"/>
        <v>0</v>
      </c>
      <c r="M20" s="185"/>
      <c r="N20" s="200">
        <f t="shared" si="2"/>
        <v>0</v>
      </c>
      <c r="O20" s="201">
        <f t="shared" si="3"/>
        <v>0</v>
      </c>
      <c r="P20" s="67"/>
      <c r="Q20" s="199">
        <f t="shared" si="4"/>
        <v>0</v>
      </c>
      <c r="R20" s="199">
        <f t="shared" si="5"/>
        <v>0</v>
      </c>
      <c r="T20" s="1">
        <f t="shared" ref="T20" si="38">IF(D20&gt;0,1,0)</f>
        <v>0</v>
      </c>
      <c r="U20" s="1">
        <f t="shared" ref="U20" si="39">IFERROR(R20,0)</f>
        <v>0</v>
      </c>
      <c r="W20" s="1" t="str">
        <f t="shared" si="8"/>
        <v/>
      </c>
      <c r="X20" s="29" t="str">
        <f t="shared" si="9"/>
        <v/>
      </c>
      <c r="Y20" s="1" t="str">
        <f t="shared" si="10"/>
        <v/>
      </c>
      <c r="Z20" s="1" t="str">
        <f t="shared" si="11"/>
        <v/>
      </c>
      <c r="AA20" s="30" t="str">
        <f t="shared" si="12"/>
        <v/>
      </c>
      <c r="AB20" s="30" t="e">
        <f t="shared" si="13"/>
        <v>#DIV/0!</v>
      </c>
      <c r="AC20" s="1" t="str">
        <f t="shared" si="14"/>
        <v/>
      </c>
      <c r="AD20" s="1" t="str">
        <f t="shared" si="15"/>
        <v/>
      </c>
      <c r="AE20" s="1" t="e">
        <f t="shared" si="16"/>
        <v>#DIV/0!</v>
      </c>
      <c r="AF20" s="1" t="e">
        <f t="shared" si="17"/>
        <v>#DIV/0!</v>
      </c>
      <c r="AG20" s="1">
        <f t="shared" si="18"/>
        <v>0</v>
      </c>
      <c r="AK20" s="31" t="e">
        <f t="shared" ref="AK20" si="40">100-(N20/G20*100)</f>
        <v>#DIV/0!</v>
      </c>
      <c r="AL20" s="18" t="e">
        <f t="shared" ref="AL20" si="41">100-(P20/I20*100)</f>
        <v>#DIV/0!</v>
      </c>
      <c r="AM20" s="30" t="e">
        <f t="shared" ref="AM20" si="42">IF(AND(AK20&gt;24,AL20&gt;24),(IFERROR(((K20/D20*100)+(M20/F20*100)+(76-((((1.76*G20-N20)/G20)*100)-100))+(76-((((1.76*I20-P20)/I20)*100)-100))),((K20/D20*100)+(M20/F20*100)+(76-((((1.76*G20-N20)/G20)*100)-100))))),(IFERROR(((K20/D20*100)+(M20/F20*100)+(((1.76*G20-N20)/G20)*100))+(((1.76*I20-P20)/I20)*100),((K20/D20*100)+(M20/F20*100)+(((1.76*G20-N20)/G20)*100)))))</f>
        <v>#DIV/0!</v>
      </c>
      <c r="AN20" s="30" t="e">
        <f t="shared" ref="AN20" si="43">IF(AK20&gt;24,(((K20/D20*100)+(M20/F20*100)+(76-((((1.76*G20-N20)/G20)*100)-100)))),(((K20/D20*100)+(M20/F20*100)+(((1.76*G20-N20)/G20)*100))))</f>
        <v>#DIV/0!</v>
      </c>
      <c r="AO20" s="1" t="e">
        <f t="shared" ref="AO20" si="44">IFERROR(AM20,AN20)</f>
        <v>#DIV/0!</v>
      </c>
    </row>
    <row r="21" spans="1:41" ht="29.25" customHeight="1">
      <c r="A21" s="28">
        <f>'FORM SKP'!A25:C25</f>
        <v>13</v>
      </c>
      <c r="B21" s="198">
        <f>'FORM SKP'!B25:C25</f>
        <v>0</v>
      </c>
      <c r="C21" s="206">
        <f>'FORM SKP'!E25</f>
        <v>0</v>
      </c>
      <c r="D21" s="203">
        <f>'FORM SKP'!F25</f>
        <v>0</v>
      </c>
      <c r="E21" s="204">
        <f>'FORM SKP'!G25</f>
        <v>0</v>
      </c>
      <c r="F21" s="204">
        <f>'FORM SKP'!H25</f>
        <v>0</v>
      </c>
      <c r="G21" s="204">
        <f>'FORM SKP'!I25</f>
        <v>0</v>
      </c>
      <c r="H21" s="205">
        <f>'FORM SKP'!J25</f>
        <v>0</v>
      </c>
      <c r="I21" s="36"/>
      <c r="J21" s="206">
        <f t="shared" si="0"/>
        <v>0</v>
      </c>
      <c r="K21" s="159"/>
      <c r="L21" s="202">
        <f t="shared" si="1"/>
        <v>0</v>
      </c>
      <c r="M21" s="185"/>
      <c r="N21" s="200">
        <f t="shared" si="2"/>
        <v>0</v>
      </c>
      <c r="O21" s="201">
        <f t="shared" si="3"/>
        <v>0</v>
      </c>
      <c r="P21" s="67"/>
      <c r="Q21" s="199">
        <f t="shared" si="4"/>
        <v>0</v>
      </c>
      <c r="R21" s="199">
        <f t="shared" si="5"/>
        <v>0</v>
      </c>
      <c r="T21" s="1">
        <f t="shared" si="6"/>
        <v>0</v>
      </c>
      <c r="U21" s="1">
        <f t="shared" si="7"/>
        <v>0</v>
      </c>
      <c r="W21" s="1" t="str">
        <f t="shared" si="8"/>
        <v/>
      </c>
      <c r="X21" s="29" t="str">
        <f t="shared" si="9"/>
        <v/>
      </c>
      <c r="Y21" s="1" t="str">
        <f t="shared" si="10"/>
        <v/>
      </c>
      <c r="Z21" s="1" t="str">
        <f t="shared" si="11"/>
        <v/>
      </c>
      <c r="AA21" s="30" t="str">
        <f t="shared" si="12"/>
        <v/>
      </c>
      <c r="AB21" s="30" t="e">
        <f t="shared" si="13"/>
        <v>#DIV/0!</v>
      </c>
      <c r="AC21" s="1" t="str">
        <f t="shared" si="14"/>
        <v/>
      </c>
      <c r="AD21" s="1" t="str">
        <f t="shared" si="15"/>
        <v/>
      </c>
      <c r="AE21" s="1" t="e">
        <f t="shared" si="16"/>
        <v>#DIV/0!</v>
      </c>
      <c r="AF21" s="1" t="e">
        <f t="shared" si="17"/>
        <v>#DIV/0!</v>
      </c>
      <c r="AG21" s="1">
        <f t="shared" si="18"/>
        <v>0</v>
      </c>
      <c r="AK21" s="31" t="e">
        <f t="shared" si="19"/>
        <v>#DIV/0!</v>
      </c>
      <c r="AL21" s="18" t="e">
        <f t="shared" si="20"/>
        <v>#DIV/0!</v>
      </c>
      <c r="AM21" s="30" t="e">
        <f t="shared" si="21"/>
        <v>#DIV/0!</v>
      </c>
      <c r="AN21" s="30" t="e">
        <f t="shared" si="22"/>
        <v>#DIV/0!</v>
      </c>
      <c r="AO21" s="1" t="e">
        <f t="shared" si="23"/>
        <v>#DIV/0!</v>
      </c>
    </row>
    <row r="22" spans="1:41" ht="26.25" customHeight="1">
      <c r="A22" s="196"/>
      <c r="B22" s="257" t="s">
        <v>40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</row>
    <row r="23" spans="1:41" ht="21.75" customHeight="1">
      <c r="A23" s="196">
        <v>1</v>
      </c>
      <c r="B23" s="32"/>
      <c r="C23" s="32"/>
      <c r="D23" s="242"/>
      <c r="E23" s="242"/>
      <c r="F23" s="242"/>
      <c r="G23" s="242"/>
      <c r="H23" s="242"/>
      <c r="I23" s="242"/>
      <c r="J23" s="33"/>
      <c r="K23" s="260"/>
      <c r="L23" s="260"/>
      <c r="M23" s="260"/>
      <c r="N23" s="260"/>
      <c r="O23" s="260"/>
      <c r="P23" s="260"/>
      <c r="Q23" s="196"/>
      <c r="R23" s="5"/>
      <c r="Z23" s="1" t="s">
        <v>35</v>
      </c>
      <c r="AJ23" s="1" t="s">
        <v>32</v>
      </c>
      <c r="AL23" s="30"/>
    </row>
    <row r="24" spans="1:41" ht="24.75" customHeight="1">
      <c r="A24" s="196">
        <v>2</v>
      </c>
      <c r="B24" s="32"/>
      <c r="C24" s="32"/>
      <c r="D24" s="264"/>
      <c r="E24" s="265"/>
      <c r="F24" s="265"/>
      <c r="G24" s="265"/>
      <c r="H24" s="265"/>
      <c r="I24" s="266"/>
      <c r="J24" s="33"/>
      <c r="K24" s="261"/>
      <c r="L24" s="262"/>
      <c r="M24" s="262"/>
      <c r="N24" s="262"/>
      <c r="O24" s="262"/>
      <c r="P24" s="263"/>
      <c r="Q24" s="196"/>
      <c r="R24" s="7"/>
      <c r="AL24" s="30"/>
    </row>
    <row r="25" spans="1:41" ht="13.5" customHeight="1">
      <c r="A25" s="267" t="s">
        <v>18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119" t="e">
        <f>(SUM(U9:U21)/T25)+R23+R24</f>
        <v>#DIV/0!</v>
      </c>
      <c r="T25" s="1">
        <f>SUM(T9:T23)</f>
        <v>0</v>
      </c>
    </row>
    <row r="26" spans="1:41" ht="13.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34" t="e">
        <f>IF(R25&lt;=50,"(Buruk)",IF(R25&lt;=60,"(Sedang)",IF(R25&lt;=75,"(Cukup)",IF(R25&lt;=90.99,"(Baik)","(Sangat Baik)"))))</f>
        <v>#DIV/0!</v>
      </c>
    </row>
    <row r="27" spans="1:41" ht="18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1:41">
      <c r="M28" s="255" t="s">
        <v>501</v>
      </c>
      <c r="N28" s="255"/>
      <c r="O28" s="255"/>
      <c r="P28" s="255"/>
      <c r="Q28" s="255"/>
      <c r="R28" s="255"/>
    </row>
    <row r="29" spans="1:41">
      <c r="M29" s="255" t="s">
        <v>26</v>
      </c>
      <c r="N29" s="255"/>
      <c r="O29" s="255"/>
      <c r="P29" s="255"/>
      <c r="Q29" s="255"/>
      <c r="R29" s="255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4" t="str">
        <f>'FORM SKP'!A31</f>
        <v>George Endri Kusuma, ST., MSc.Eng.</v>
      </c>
      <c r="N32" s="254"/>
      <c r="O32" s="254"/>
      <c r="P32" s="254"/>
      <c r="Q32" s="254"/>
      <c r="R32" s="254"/>
    </row>
    <row r="33" spans="13:18">
      <c r="M33" s="255" t="str">
        <f>'FORM SKP'!A32</f>
        <v>197605172009121003</v>
      </c>
      <c r="N33" s="255"/>
      <c r="O33" s="255"/>
      <c r="P33" s="255"/>
      <c r="Q33" s="255"/>
      <c r="R33" s="255"/>
    </row>
  </sheetData>
  <sheetProtection password="CF7A" sheet="1" objects="1" scenarios="1" formatCells="0" deleteColumns="0"/>
  <protectedRanges>
    <protectedRange sqref="B23:R24" name="Range3"/>
    <protectedRange sqref="K9:K21" name="Range1"/>
    <protectedRange sqref="M9:M21" name="Range2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7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workbookViewId="0">
      <selection activeCell="E10" sqref="E10"/>
    </sheetView>
  </sheetViews>
  <sheetFormatPr defaultColWidth="9.140625"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7" style="1" bestFit="1" customWidth="1"/>
    <col min="9" max="9" width="11.5703125" style="1" customWidth="1"/>
    <col min="10" max="10" width="31" style="1" customWidth="1"/>
    <col min="11" max="16384" width="9.140625" style="1"/>
  </cols>
  <sheetData>
    <row r="1" spans="1:10" ht="21.75" customHeight="1">
      <c r="A1" s="268" t="s">
        <v>41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3.5" customHeight="1"/>
    <row r="3" spans="1:10" ht="15" customHeight="1">
      <c r="A3" s="1" t="s">
        <v>4</v>
      </c>
      <c r="C3" s="1" t="s">
        <v>70</v>
      </c>
      <c r="D3" s="1" t="str">
        <f>'FORM SKP'!H5</f>
        <v>Wiediartini, SE., MT.</v>
      </c>
    </row>
    <row r="4" spans="1:10" ht="15" customHeight="1">
      <c r="A4" s="1" t="s">
        <v>5</v>
      </c>
      <c r="C4" s="1" t="s">
        <v>70</v>
      </c>
      <c r="D4" s="1" t="str">
        <f>'FORM SKP'!H6</f>
        <v>197604222009122003</v>
      </c>
    </row>
    <row r="5" spans="1:10" ht="13.5" customHeight="1"/>
    <row r="6" spans="1:10" ht="35.25" customHeight="1">
      <c r="A6" s="2" t="s">
        <v>42</v>
      </c>
      <c r="B6" s="271" t="s">
        <v>43</v>
      </c>
      <c r="C6" s="271"/>
      <c r="D6" s="271"/>
      <c r="E6" s="271" t="s">
        <v>44</v>
      </c>
      <c r="F6" s="271"/>
      <c r="G6" s="271"/>
      <c r="H6" s="271"/>
      <c r="I6" s="271"/>
      <c r="J6" s="3" t="s">
        <v>422</v>
      </c>
    </row>
    <row r="7" spans="1:10">
      <c r="A7" s="4">
        <v>1</v>
      </c>
      <c r="B7" s="271">
        <v>2</v>
      </c>
      <c r="C7" s="271"/>
      <c r="D7" s="271"/>
      <c r="E7" s="271">
        <v>3</v>
      </c>
      <c r="F7" s="271"/>
      <c r="G7" s="271"/>
      <c r="H7" s="271"/>
      <c r="I7" s="271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68">
        <v>1</v>
      </c>
      <c r="B9" s="272" t="str">
        <f>PENGUKURAN!A5</f>
        <v>1 Januari s.d. 30 Juni 2021</v>
      </c>
      <c r="C9" s="275"/>
      <c r="D9" s="276"/>
      <c r="E9" s="197" t="s">
        <v>503</v>
      </c>
      <c r="F9" s="15"/>
      <c r="G9" s="15"/>
      <c r="H9" s="15"/>
      <c r="I9" s="11"/>
      <c r="J9" s="6"/>
    </row>
    <row r="10" spans="1:10" ht="21" customHeight="1">
      <c r="A10" s="6"/>
      <c r="B10" s="272"/>
      <c r="C10" s="275"/>
      <c r="D10" s="276"/>
      <c r="E10" s="138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72"/>
      <c r="C11" s="273"/>
      <c r="D11" s="274"/>
      <c r="E11" s="121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1" t="s">
        <v>47</v>
      </c>
      <c r="F12" s="15"/>
      <c r="G12" s="139" t="s">
        <v>52</v>
      </c>
      <c r="H12" s="165"/>
      <c r="I12" s="35" t="str">
        <f t="shared" ref="I12:I16" si="0">IF(H12&lt;=50,"(Buruk)",IF(H12&lt;=60,"(Kurang)",IF(H12&lt;=75,"(Cukup)",IF(H12&lt;=90.99,"(Baik)","(Sangat Baik)"))))</f>
        <v>(Buruk)</v>
      </c>
      <c r="J12" s="270" t="str">
        <f>'FORM SKP'!C8</f>
        <v>Ketua Jurusan Teknik Permesinan Kapal</v>
      </c>
    </row>
    <row r="13" spans="1:10" ht="21" customHeight="1">
      <c r="A13" s="6"/>
      <c r="B13" s="10"/>
      <c r="C13" s="15"/>
      <c r="D13" s="15"/>
      <c r="E13" s="121" t="s">
        <v>48</v>
      </c>
      <c r="F13" s="15"/>
      <c r="G13" s="139" t="s">
        <v>52</v>
      </c>
      <c r="H13" s="165"/>
      <c r="I13" s="35" t="str">
        <f t="shared" si="0"/>
        <v>(Buruk)</v>
      </c>
      <c r="J13" s="270"/>
    </row>
    <row r="14" spans="1:10" ht="21" customHeight="1">
      <c r="A14" s="6"/>
      <c r="B14" s="10"/>
      <c r="C14" s="15"/>
      <c r="D14" s="15"/>
      <c r="E14" s="121" t="s">
        <v>49</v>
      </c>
      <c r="F14" s="15"/>
      <c r="G14" s="139" t="s">
        <v>52</v>
      </c>
      <c r="H14" s="165"/>
      <c r="I14" s="35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1" t="s">
        <v>50</v>
      </c>
      <c r="F15" s="15"/>
      <c r="G15" s="139" t="s">
        <v>52</v>
      </c>
      <c r="H15" s="165"/>
      <c r="I15" s="35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1" t="s">
        <v>51</v>
      </c>
      <c r="F16" s="15"/>
      <c r="G16" s="139" t="s">
        <v>52</v>
      </c>
      <c r="H16" s="165"/>
      <c r="I16" s="35" t="str">
        <f t="shared" si="0"/>
        <v>(Buruk)</v>
      </c>
      <c r="J16" s="86" t="str">
        <f>'FORM SKP'!C5</f>
        <v>George Endri Kusuma, ST., MSc.Eng.</v>
      </c>
    </row>
    <row r="17" spans="1:10" ht="21" customHeight="1">
      <c r="A17" s="6"/>
      <c r="B17" s="10"/>
      <c r="C17" s="15"/>
      <c r="D17" s="15"/>
      <c r="E17" s="122"/>
      <c r="F17" s="16"/>
      <c r="G17" s="140"/>
      <c r="H17" s="192"/>
      <c r="I17" s="35"/>
      <c r="J17" s="68" t="str">
        <f>'FORM SKP'!C6</f>
        <v>197605172009121003</v>
      </c>
    </row>
    <row r="18" spans="1:10" ht="21" customHeight="1">
      <c r="A18" s="6"/>
      <c r="B18" s="10"/>
      <c r="C18" s="15"/>
      <c r="D18" s="11"/>
      <c r="E18" s="120" t="s">
        <v>53</v>
      </c>
      <c r="F18" s="14"/>
      <c r="G18" s="141" t="s">
        <v>52</v>
      </c>
      <c r="H18" s="191">
        <f>SUM(H12:H16)</f>
        <v>0</v>
      </c>
      <c r="I18" s="14"/>
      <c r="J18" s="6"/>
    </row>
    <row r="19" spans="1:10" ht="21" customHeight="1">
      <c r="A19" s="6"/>
      <c r="B19" s="10"/>
      <c r="C19" s="15"/>
      <c r="D19" s="11"/>
      <c r="E19" s="121" t="s">
        <v>54</v>
      </c>
      <c r="F19" s="15"/>
      <c r="G19" s="139" t="s">
        <v>52</v>
      </c>
      <c r="H19" s="63" t="e">
        <f>AVERAGE(H12:H16)</f>
        <v>#DIV/0!</v>
      </c>
      <c r="I19" s="35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63"/>
      <c r="I20" s="13"/>
      <c r="J20" s="7"/>
    </row>
    <row r="25" spans="1:10">
      <c r="J25" s="30"/>
    </row>
    <row r="28" spans="1:10">
      <c r="J28" s="37"/>
    </row>
    <row r="35" spans="9:9">
      <c r="I35" s="19"/>
    </row>
  </sheetData>
  <sheetProtection password="CF7A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90" zoomScaleNormal="90" workbookViewId="0">
      <selection activeCell="K19" sqref="K19"/>
    </sheetView>
  </sheetViews>
  <sheetFormatPr defaultColWidth="9.140625"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570312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68" t="s">
        <v>55</v>
      </c>
      <c r="B7" s="268"/>
      <c r="C7" s="268"/>
      <c r="D7" s="268"/>
      <c r="E7" s="268"/>
      <c r="F7" s="268"/>
      <c r="G7" s="268"/>
      <c r="H7" s="268"/>
      <c r="I7" s="268"/>
      <c r="J7" s="268"/>
    </row>
    <row r="8" spans="1:10">
      <c r="A8" s="268" t="s">
        <v>56</v>
      </c>
      <c r="B8" s="268"/>
      <c r="C8" s="268"/>
      <c r="D8" s="268"/>
      <c r="E8" s="268"/>
      <c r="F8" s="268"/>
      <c r="G8" s="268"/>
      <c r="H8" s="268"/>
      <c r="I8" s="268"/>
      <c r="J8" s="268"/>
    </row>
    <row r="9" spans="1:10">
      <c r="J9" s="24"/>
    </row>
    <row r="10" spans="1:10">
      <c r="A10" s="38"/>
      <c r="B10" s="38"/>
      <c r="C10" s="38"/>
      <c r="D10" s="38"/>
      <c r="E10" s="38"/>
      <c r="F10" s="38"/>
      <c r="G10" s="38"/>
      <c r="I10" s="38" t="s">
        <v>57</v>
      </c>
      <c r="J10" s="38"/>
    </row>
    <row r="11" spans="1:10" ht="15.75" customHeight="1">
      <c r="A11" s="38" t="str">
        <f>COVER!$A$39</f>
        <v>KEMENTERIAN PENDIDIKAN, KEBUDAYAAN, RISET, DAN TEKNOLOGI</v>
      </c>
      <c r="B11" s="38"/>
      <c r="C11" s="38"/>
      <c r="D11" s="38"/>
      <c r="E11" s="38"/>
      <c r="F11" s="38"/>
      <c r="G11" s="38"/>
      <c r="I11" s="55" t="str">
        <f>COVER!$A$16</f>
        <v>Januari s.d. Juni 2021</v>
      </c>
      <c r="J11" s="126"/>
    </row>
    <row r="12" spans="1:10" ht="9" customHeight="1">
      <c r="A12" s="38"/>
      <c r="B12" s="38"/>
      <c r="C12" s="38"/>
      <c r="D12" s="38"/>
      <c r="E12" s="38"/>
      <c r="F12" s="38"/>
      <c r="G12" s="38"/>
      <c r="H12" s="95"/>
      <c r="I12" s="95"/>
      <c r="J12" s="95"/>
    </row>
    <row r="13" spans="1:10" ht="20.100000000000001" customHeight="1">
      <c r="A13" s="39" t="s">
        <v>73</v>
      </c>
      <c r="B13" s="280" t="s">
        <v>58</v>
      </c>
      <c r="C13" s="281"/>
      <c r="D13" s="281"/>
      <c r="E13" s="281"/>
      <c r="F13" s="281"/>
      <c r="G13" s="281"/>
      <c r="H13" s="281"/>
      <c r="I13" s="281"/>
      <c r="J13" s="282"/>
    </row>
    <row r="14" spans="1:10" ht="20.100000000000001" customHeight="1">
      <c r="A14" s="40"/>
      <c r="B14" s="127" t="s">
        <v>60</v>
      </c>
      <c r="C14" s="291" t="s">
        <v>59</v>
      </c>
      <c r="D14" s="291"/>
      <c r="E14" s="291"/>
      <c r="F14" s="291"/>
      <c r="G14" s="277" t="str">
        <f>'FORM SKP'!H5</f>
        <v>Wiediartini, SE., MT.</v>
      </c>
      <c r="H14" s="278"/>
      <c r="I14" s="278"/>
      <c r="J14" s="279"/>
    </row>
    <row r="15" spans="1:10" ht="20.100000000000001" customHeight="1">
      <c r="A15" s="40"/>
      <c r="B15" s="128" t="s">
        <v>64</v>
      </c>
      <c r="C15" s="286" t="s">
        <v>5</v>
      </c>
      <c r="D15" s="286"/>
      <c r="E15" s="286"/>
      <c r="F15" s="286"/>
      <c r="G15" s="280" t="str">
        <f>'FORM SKP'!H6</f>
        <v>197604222009122003</v>
      </c>
      <c r="H15" s="281"/>
      <c r="I15" s="281"/>
      <c r="J15" s="282"/>
    </row>
    <row r="16" spans="1:10" ht="20.100000000000001" customHeight="1">
      <c r="A16" s="40"/>
      <c r="B16" s="128" t="s">
        <v>65</v>
      </c>
      <c r="C16" s="286" t="s">
        <v>61</v>
      </c>
      <c r="D16" s="286"/>
      <c r="E16" s="286"/>
      <c r="F16" s="286"/>
      <c r="G16" s="280" t="str">
        <f>'FORM SKP'!H7</f>
        <v>Penata / III/c</v>
      </c>
      <c r="H16" s="281"/>
      <c r="I16" s="281"/>
      <c r="J16" s="282"/>
    </row>
    <row r="17" spans="1:10" ht="20.100000000000001" customHeight="1">
      <c r="A17" s="40"/>
      <c r="B17" s="128" t="s">
        <v>66</v>
      </c>
      <c r="C17" s="286" t="s">
        <v>62</v>
      </c>
      <c r="D17" s="286"/>
      <c r="E17" s="286"/>
      <c r="F17" s="286"/>
      <c r="G17" s="283" t="str">
        <f>'FORM SKP'!H8</f>
        <v>Lektor</v>
      </c>
      <c r="H17" s="284"/>
      <c r="I17" s="284"/>
      <c r="J17" s="285"/>
    </row>
    <row r="18" spans="1:10" ht="20.100000000000001" customHeight="1">
      <c r="A18" s="45"/>
      <c r="B18" s="128" t="s">
        <v>67</v>
      </c>
      <c r="C18" s="286" t="s">
        <v>63</v>
      </c>
      <c r="D18" s="286"/>
      <c r="E18" s="286"/>
      <c r="F18" s="286"/>
      <c r="G18" s="283" t="str">
        <f>'FORM SKP'!H9</f>
        <v>Politeknik Perkapalan Negeri Surabaya</v>
      </c>
      <c r="H18" s="284"/>
      <c r="I18" s="284"/>
      <c r="J18" s="285"/>
    </row>
    <row r="19" spans="1:10" ht="20.100000000000001" customHeight="1">
      <c r="A19" s="39" t="s">
        <v>74</v>
      </c>
      <c r="B19" s="280" t="s">
        <v>68</v>
      </c>
      <c r="C19" s="281"/>
      <c r="D19" s="281"/>
      <c r="E19" s="281"/>
      <c r="F19" s="281"/>
      <c r="G19" s="281"/>
      <c r="H19" s="281"/>
      <c r="I19" s="281"/>
      <c r="J19" s="282"/>
    </row>
    <row r="20" spans="1:10" ht="20.100000000000001" customHeight="1">
      <c r="A20" s="46"/>
      <c r="B20" s="127" t="s">
        <v>60</v>
      </c>
      <c r="C20" s="291" t="s">
        <v>59</v>
      </c>
      <c r="D20" s="291"/>
      <c r="E20" s="291"/>
      <c r="F20" s="291"/>
      <c r="G20" s="277" t="str">
        <f>'FORM SKP'!C5</f>
        <v>George Endri Kusuma, ST., MSc.Eng.</v>
      </c>
      <c r="H20" s="278"/>
      <c r="I20" s="278"/>
      <c r="J20" s="279"/>
    </row>
    <row r="21" spans="1:10" ht="20.100000000000001" customHeight="1">
      <c r="A21" s="46"/>
      <c r="B21" s="128" t="s">
        <v>64</v>
      </c>
      <c r="C21" s="286" t="s">
        <v>5</v>
      </c>
      <c r="D21" s="286"/>
      <c r="E21" s="286"/>
      <c r="F21" s="286"/>
      <c r="G21" s="280" t="str">
        <f>'DATA SKP'!$E$11</f>
        <v>197605172009121003</v>
      </c>
      <c r="H21" s="281"/>
      <c r="I21" s="281"/>
      <c r="J21" s="282"/>
    </row>
    <row r="22" spans="1:10" ht="20.100000000000001" customHeight="1">
      <c r="A22" s="46"/>
      <c r="B22" s="128" t="s">
        <v>65</v>
      </c>
      <c r="C22" s="286" t="s">
        <v>61</v>
      </c>
      <c r="D22" s="286"/>
      <c r="E22" s="286"/>
      <c r="F22" s="286"/>
      <c r="G22" s="283" t="str">
        <f>'FORM SKP'!C7</f>
        <v>Penata / III/c</v>
      </c>
      <c r="H22" s="284"/>
      <c r="I22" s="284"/>
      <c r="J22" s="285"/>
    </row>
    <row r="23" spans="1:10" ht="20.100000000000001" customHeight="1">
      <c r="A23" s="46"/>
      <c r="B23" s="128" t="s">
        <v>66</v>
      </c>
      <c r="C23" s="286" t="s">
        <v>62</v>
      </c>
      <c r="D23" s="286"/>
      <c r="E23" s="286"/>
      <c r="F23" s="286"/>
      <c r="G23" s="283" t="str">
        <f>'FORM SKP'!C8</f>
        <v>Ketua Jurusan Teknik Permesinan Kapal</v>
      </c>
      <c r="H23" s="284"/>
      <c r="I23" s="284"/>
      <c r="J23" s="285"/>
    </row>
    <row r="24" spans="1:10" ht="19.5" customHeight="1">
      <c r="A24" s="47"/>
      <c r="B24" s="128" t="s">
        <v>67</v>
      </c>
      <c r="C24" s="286" t="s">
        <v>63</v>
      </c>
      <c r="D24" s="286"/>
      <c r="E24" s="286"/>
      <c r="F24" s="286"/>
      <c r="G24" s="283" t="str">
        <f>'FORM SKP'!C9</f>
        <v>Politeknik Perkapalan Negeri Surabaya</v>
      </c>
      <c r="H24" s="284"/>
      <c r="I24" s="284"/>
      <c r="J24" s="285"/>
    </row>
    <row r="25" spans="1:10" ht="20.100000000000001" customHeight="1">
      <c r="A25" s="39" t="s">
        <v>75</v>
      </c>
      <c r="B25" s="280" t="s">
        <v>69</v>
      </c>
      <c r="C25" s="281"/>
      <c r="D25" s="281"/>
      <c r="E25" s="281"/>
      <c r="F25" s="281"/>
      <c r="G25" s="281"/>
      <c r="H25" s="281"/>
      <c r="I25" s="281"/>
      <c r="J25" s="282"/>
    </row>
    <row r="26" spans="1:10" ht="20.100000000000001" customHeight="1">
      <c r="A26" s="40"/>
      <c r="B26" s="127" t="s">
        <v>60</v>
      </c>
      <c r="C26" s="291" t="s">
        <v>59</v>
      </c>
      <c r="D26" s="291"/>
      <c r="E26" s="291"/>
      <c r="F26" s="291"/>
      <c r="G26" s="277" t="str">
        <f>'DATA SKP'!E16</f>
        <v>Dr. Eng. Muh. Anis Mustaghfirin, ST., MT.</v>
      </c>
      <c r="H26" s="278"/>
      <c r="I26" s="278"/>
      <c r="J26" s="279"/>
    </row>
    <row r="27" spans="1:10" ht="20.100000000000001" customHeight="1">
      <c r="A27" s="40"/>
      <c r="B27" s="128" t="s">
        <v>64</v>
      </c>
      <c r="C27" s="286" t="s">
        <v>5</v>
      </c>
      <c r="D27" s="286"/>
      <c r="E27" s="286"/>
      <c r="F27" s="286"/>
      <c r="G27" s="280" t="str">
        <f>'DATA SKP'!E17</f>
        <v>197208051997021001</v>
      </c>
      <c r="H27" s="281"/>
      <c r="I27" s="281"/>
      <c r="J27" s="282"/>
    </row>
    <row r="28" spans="1:10" ht="20.100000000000001" customHeight="1">
      <c r="A28" s="40"/>
      <c r="B28" s="128" t="s">
        <v>65</v>
      </c>
      <c r="C28" s="286" t="s">
        <v>61</v>
      </c>
      <c r="D28" s="286"/>
      <c r="E28" s="286"/>
      <c r="F28" s="286"/>
      <c r="G28" s="280" t="str">
        <f>'DATA SKP'!E18</f>
        <v>Penata Tingkat I / III/d</v>
      </c>
      <c r="H28" s="281"/>
      <c r="I28" s="281"/>
      <c r="J28" s="282"/>
    </row>
    <row r="29" spans="1:10" ht="20.100000000000001" customHeight="1">
      <c r="A29" s="40"/>
      <c r="B29" s="128" t="s">
        <v>66</v>
      </c>
      <c r="C29" s="286" t="s">
        <v>62</v>
      </c>
      <c r="D29" s="286"/>
      <c r="E29" s="286"/>
      <c r="F29" s="286"/>
      <c r="G29" s="280" t="str">
        <f>'DATA SKP'!E19</f>
        <v>Wakil Direktur I</v>
      </c>
      <c r="H29" s="281"/>
      <c r="I29" s="281"/>
      <c r="J29" s="282"/>
    </row>
    <row r="30" spans="1:10" ht="20.100000000000001" customHeight="1">
      <c r="A30" s="45"/>
      <c r="B30" s="128" t="s">
        <v>67</v>
      </c>
      <c r="C30" s="286" t="s">
        <v>63</v>
      </c>
      <c r="D30" s="286"/>
      <c r="E30" s="286"/>
      <c r="F30" s="286"/>
      <c r="G30" s="283" t="str">
        <f>'DATA SKP'!E20</f>
        <v>Politeknik Perkapalan Negeri Surabaya</v>
      </c>
      <c r="H30" s="284"/>
      <c r="I30" s="284"/>
      <c r="J30" s="285"/>
    </row>
    <row r="31" spans="1:10" ht="20.100000000000001" customHeight="1">
      <c r="A31" s="39" t="s">
        <v>97</v>
      </c>
      <c r="B31" s="305" t="s">
        <v>71</v>
      </c>
      <c r="C31" s="315"/>
      <c r="D31" s="315"/>
      <c r="E31" s="315"/>
      <c r="F31" s="315"/>
      <c r="G31" s="315"/>
      <c r="H31" s="315"/>
      <c r="I31" s="316"/>
      <c r="J31" s="48" t="s">
        <v>80</v>
      </c>
    </row>
    <row r="32" spans="1:10" ht="20.100000000000001" customHeight="1">
      <c r="A32" s="49"/>
      <c r="B32" s="305" t="s">
        <v>72</v>
      </c>
      <c r="C32" s="314" t="s">
        <v>100</v>
      </c>
      <c r="D32" s="314"/>
      <c r="E32" s="314"/>
      <c r="F32" s="314"/>
      <c r="G32" s="314"/>
      <c r="H32" s="292" t="e">
        <f>'PERILAKU KERJA'!$E$10</f>
        <v>#DIV/0!</v>
      </c>
      <c r="I32" s="294" t="s">
        <v>98</v>
      </c>
      <c r="J32" s="296" t="e">
        <f>H32*60%</f>
        <v>#DIV/0!</v>
      </c>
    </row>
    <row r="33" spans="1:10" ht="20.100000000000001" customHeight="1">
      <c r="A33" s="49"/>
      <c r="B33" s="307"/>
      <c r="C33" s="286"/>
      <c r="D33" s="286"/>
      <c r="E33" s="286"/>
      <c r="F33" s="286"/>
      <c r="G33" s="286"/>
      <c r="H33" s="293"/>
      <c r="I33" s="295"/>
      <c r="J33" s="297"/>
    </row>
    <row r="34" spans="1:10" ht="20.100000000000001" customHeight="1">
      <c r="A34" s="49"/>
      <c r="B34" s="305" t="s">
        <v>64</v>
      </c>
      <c r="C34" s="308" t="s">
        <v>79</v>
      </c>
      <c r="D34" s="309"/>
      <c r="E34" s="128" t="s">
        <v>73</v>
      </c>
      <c r="F34" s="44" t="str">
        <f>'PERILAKU KERJA'!E12</f>
        <v>Orientasi Pelayanan</v>
      </c>
      <c r="G34" s="44"/>
      <c r="H34" s="64">
        <f>'PERILAKU KERJA'!H12</f>
        <v>0</v>
      </c>
      <c r="I34" s="47" t="str">
        <f>'PERILAKU KERJA'!I12</f>
        <v>(Buruk)</v>
      </c>
      <c r="J34" s="50"/>
    </row>
    <row r="35" spans="1:10" ht="20.100000000000001" customHeight="1">
      <c r="A35" s="49"/>
      <c r="B35" s="306"/>
      <c r="C35" s="310"/>
      <c r="D35" s="311"/>
      <c r="E35" s="128" t="s">
        <v>74</v>
      </c>
      <c r="F35" s="291" t="str">
        <f>'PERILAKU KERJA'!E13</f>
        <v>Integritas</v>
      </c>
      <c r="G35" s="304"/>
      <c r="H35" s="58">
        <f>'PERILAKU KERJA'!H13</f>
        <v>0</v>
      </c>
      <c r="I35" s="48" t="str">
        <f>'PERILAKU KERJA'!I13</f>
        <v>(Buruk)</v>
      </c>
      <c r="J35" s="50"/>
    </row>
    <row r="36" spans="1:10" ht="20.100000000000001" customHeight="1">
      <c r="A36" s="49"/>
      <c r="B36" s="306"/>
      <c r="C36" s="310"/>
      <c r="D36" s="311"/>
      <c r="E36" s="128" t="s">
        <v>75</v>
      </c>
      <c r="F36" s="291" t="str">
        <f>'PERILAKU KERJA'!E14</f>
        <v>Komitmen</v>
      </c>
      <c r="G36" s="304"/>
      <c r="H36" s="58">
        <f>'PERILAKU KERJA'!H14</f>
        <v>0</v>
      </c>
      <c r="I36" s="48" t="str">
        <f>'PERILAKU KERJA'!I14</f>
        <v>(Buruk)</v>
      </c>
      <c r="J36" s="50"/>
    </row>
    <row r="37" spans="1:10" ht="20.100000000000001" customHeight="1">
      <c r="A37" s="49"/>
      <c r="B37" s="306"/>
      <c r="C37" s="310"/>
      <c r="D37" s="311"/>
      <c r="E37" s="128">
        <v>4</v>
      </c>
      <c r="F37" s="291" t="str">
        <f>'PERILAKU KERJA'!E15</f>
        <v>Disiplin</v>
      </c>
      <c r="G37" s="304"/>
      <c r="H37" s="58">
        <f>'PERILAKU KERJA'!H15</f>
        <v>0</v>
      </c>
      <c r="I37" s="48" t="str">
        <f>'PERILAKU KERJA'!I15</f>
        <v>(Buruk)</v>
      </c>
      <c r="J37" s="50"/>
    </row>
    <row r="38" spans="1:10" ht="20.100000000000001" customHeight="1">
      <c r="A38" s="49"/>
      <c r="B38" s="306"/>
      <c r="C38" s="310"/>
      <c r="D38" s="311"/>
      <c r="E38" s="128" t="s">
        <v>76</v>
      </c>
      <c r="F38" s="291" t="str">
        <f>'PERILAKU KERJA'!E16</f>
        <v>Kerjasama</v>
      </c>
      <c r="G38" s="304"/>
      <c r="H38" s="58">
        <f>'PERILAKU KERJA'!H16</f>
        <v>0</v>
      </c>
      <c r="I38" s="48" t="str">
        <f>'PERILAKU KERJA'!I16</f>
        <v>(Buruk)</v>
      </c>
      <c r="J38" s="50"/>
    </row>
    <row r="39" spans="1:10" ht="20.100000000000001" customHeight="1">
      <c r="A39" s="49"/>
      <c r="B39" s="306"/>
      <c r="C39" s="310"/>
      <c r="D39" s="311"/>
      <c r="E39" s="128"/>
      <c r="F39" s="291"/>
      <c r="G39" s="304"/>
      <c r="H39" s="58"/>
      <c r="I39" s="48"/>
      <c r="J39" s="50"/>
    </row>
    <row r="40" spans="1:10" ht="20.100000000000001" customHeight="1">
      <c r="A40" s="49"/>
      <c r="B40" s="306"/>
      <c r="C40" s="310"/>
      <c r="D40" s="311"/>
      <c r="E40" s="127" t="s">
        <v>53</v>
      </c>
      <c r="F40" s="41"/>
      <c r="G40" s="130"/>
      <c r="H40" s="65">
        <f>'PERILAKU KERJA'!H18</f>
        <v>0</v>
      </c>
      <c r="I40" s="48">
        <f>'PERILAKU KERJA'!I18</f>
        <v>0</v>
      </c>
      <c r="J40" s="50"/>
    </row>
    <row r="41" spans="1:10" ht="20.100000000000001" customHeight="1">
      <c r="A41" s="49"/>
      <c r="B41" s="306"/>
      <c r="C41" s="310"/>
      <c r="D41" s="311"/>
      <c r="E41" s="127" t="s">
        <v>54</v>
      </c>
      <c r="F41" s="41"/>
      <c r="G41" s="130"/>
      <c r="H41" s="62" t="e">
        <f>'PERILAKU KERJA'!H19</f>
        <v>#DIV/0!</v>
      </c>
      <c r="I41" s="39" t="e">
        <f>'PERILAKU KERJA'!I19</f>
        <v>#DIV/0!</v>
      </c>
      <c r="J41" s="50"/>
    </row>
    <row r="42" spans="1:10" ht="20.100000000000001" customHeight="1">
      <c r="A42" s="42"/>
      <c r="B42" s="307"/>
      <c r="C42" s="312"/>
      <c r="D42" s="313"/>
      <c r="E42" s="127" t="s">
        <v>78</v>
      </c>
      <c r="F42" s="41"/>
      <c r="G42" s="41"/>
      <c r="H42" s="66" t="e">
        <f>H41</f>
        <v>#DIV/0!</v>
      </c>
      <c r="I42" s="51" t="s">
        <v>99</v>
      </c>
      <c r="J42" s="58" t="e">
        <f>H42*40%</f>
        <v>#DIV/0!</v>
      </c>
    </row>
    <row r="43" spans="1:10" ht="20.100000000000001" customHeight="1">
      <c r="A43" s="298" t="s">
        <v>81</v>
      </c>
      <c r="B43" s="299"/>
      <c r="C43" s="299"/>
      <c r="D43" s="299"/>
      <c r="E43" s="299"/>
      <c r="F43" s="299"/>
      <c r="G43" s="299"/>
      <c r="H43" s="299"/>
      <c r="I43" s="300"/>
      <c r="J43" s="62" t="e">
        <f>J32+J42</f>
        <v>#DIV/0!</v>
      </c>
    </row>
    <row r="44" spans="1:10" ht="20.100000000000001" customHeight="1">
      <c r="A44" s="301"/>
      <c r="B44" s="302"/>
      <c r="C44" s="302"/>
      <c r="D44" s="302"/>
      <c r="E44" s="302"/>
      <c r="F44" s="302"/>
      <c r="G44" s="302"/>
      <c r="H44" s="302"/>
      <c r="I44" s="303"/>
      <c r="J44" s="57" t="e">
        <f>IF(J43&lt;=50,"(Buruk)",IF(J43&lt;=60,"(Kurang)",IF(J43&lt;=75,"(Cukup)",IF(J43&lt;=90.99,"(Baik)","(Sangat Baik)"))))</f>
        <v>#DIV/0!</v>
      </c>
    </row>
    <row r="45" spans="1:10" ht="1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34"/>
    </row>
    <row r="46" spans="1:10" ht="1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35"/>
    </row>
    <row r="47" spans="1:10" s="26" customFormat="1" ht="15" customHeight="1">
      <c r="A47" s="52"/>
      <c r="B47" s="53"/>
      <c r="C47" s="53"/>
      <c r="D47" s="53"/>
      <c r="E47" s="53"/>
      <c r="F47" s="53"/>
      <c r="G47" s="53"/>
      <c r="H47" s="53"/>
      <c r="I47" s="53"/>
      <c r="J47" s="54"/>
    </row>
    <row r="48" spans="1:10" ht="15" customHeight="1">
      <c r="A48" s="129" t="s">
        <v>76</v>
      </c>
      <c r="B48" s="55" t="s">
        <v>82</v>
      </c>
      <c r="C48" s="55"/>
      <c r="D48" s="55"/>
      <c r="E48" s="55"/>
      <c r="F48" s="55"/>
      <c r="G48" s="55"/>
      <c r="H48" s="55"/>
      <c r="I48" s="55"/>
      <c r="J48" s="50"/>
    </row>
    <row r="49" spans="1:10" ht="15" customHeight="1">
      <c r="A49" s="49"/>
      <c r="B49" s="55" t="s">
        <v>83</v>
      </c>
      <c r="C49" s="55"/>
      <c r="D49" s="55"/>
      <c r="E49" s="55"/>
      <c r="F49" s="55"/>
      <c r="G49" s="55"/>
      <c r="H49" s="55"/>
      <c r="I49" s="55"/>
      <c r="J49" s="50"/>
    </row>
    <row r="50" spans="1:10" ht="24.95" customHeight="1">
      <c r="A50" s="49"/>
      <c r="B50" s="55"/>
      <c r="C50" s="55"/>
      <c r="D50" s="55"/>
      <c r="E50" s="55"/>
      <c r="F50" s="55"/>
      <c r="G50" s="55"/>
      <c r="H50" s="55"/>
      <c r="I50" s="55"/>
      <c r="J50" s="50"/>
    </row>
    <row r="51" spans="1:10" ht="24.95" customHeight="1">
      <c r="A51" s="49"/>
      <c r="B51" s="55"/>
      <c r="C51" s="55"/>
      <c r="D51" s="55"/>
      <c r="E51" s="55"/>
      <c r="F51" s="55"/>
      <c r="G51" s="55"/>
      <c r="H51" s="55"/>
      <c r="I51" s="55"/>
      <c r="J51" s="50"/>
    </row>
    <row r="52" spans="1:10" ht="24.95" customHeight="1">
      <c r="A52" s="49"/>
      <c r="B52" s="55"/>
      <c r="C52" s="55"/>
      <c r="D52" s="55"/>
      <c r="E52" s="55"/>
      <c r="F52" s="55"/>
      <c r="G52" s="55"/>
      <c r="H52" s="55"/>
      <c r="I52" s="55"/>
      <c r="J52" s="50"/>
    </row>
    <row r="53" spans="1:10" ht="24.95" customHeight="1">
      <c r="A53" s="49"/>
      <c r="B53" s="55"/>
      <c r="C53" s="55"/>
      <c r="D53" s="55"/>
      <c r="E53" s="55"/>
      <c r="F53" s="55"/>
      <c r="G53" s="55"/>
      <c r="H53" s="55"/>
      <c r="I53" s="55"/>
      <c r="J53" s="50"/>
    </row>
    <row r="54" spans="1:10" ht="24.95" customHeight="1">
      <c r="A54" s="49"/>
      <c r="B54" s="55"/>
      <c r="C54" s="55"/>
      <c r="D54" s="55"/>
      <c r="E54" s="55"/>
      <c r="F54" s="55"/>
      <c r="G54" s="55"/>
      <c r="H54" s="55"/>
      <c r="I54" s="55" t="s">
        <v>504</v>
      </c>
      <c r="J54" s="50"/>
    </row>
    <row r="55" spans="1:10" ht="24.95" customHeight="1">
      <c r="A55" s="42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5" customHeight="1">
      <c r="A56" s="131"/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ht="15" customHeight="1">
      <c r="A57" s="129" t="s">
        <v>77</v>
      </c>
      <c r="B57" s="55" t="s">
        <v>84</v>
      </c>
      <c r="C57" s="55"/>
      <c r="D57" s="55"/>
      <c r="E57" s="55"/>
      <c r="F57" s="55"/>
      <c r="G57" s="55"/>
      <c r="H57" s="55"/>
      <c r="I57" s="55"/>
      <c r="J57" s="50"/>
    </row>
    <row r="58" spans="1:10" ht="24.95" customHeight="1">
      <c r="A58" s="49"/>
      <c r="B58" s="55"/>
      <c r="C58" s="55"/>
      <c r="D58" s="55"/>
      <c r="E58" s="55"/>
      <c r="F58" s="55"/>
      <c r="G58" s="55"/>
      <c r="H58" s="55"/>
      <c r="I58" s="55"/>
      <c r="J58" s="50"/>
    </row>
    <row r="59" spans="1:10" ht="24.95" customHeight="1">
      <c r="A59" s="49"/>
      <c r="B59" s="55"/>
      <c r="C59" s="55"/>
      <c r="D59" s="55"/>
      <c r="E59" s="55"/>
      <c r="F59" s="55"/>
      <c r="G59" s="55"/>
      <c r="H59" s="55"/>
      <c r="I59" s="55"/>
      <c r="J59" s="50"/>
    </row>
    <row r="60" spans="1:10" ht="24.95" customHeight="1">
      <c r="A60" s="49"/>
      <c r="B60" s="55"/>
      <c r="C60" s="55"/>
      <c r="D60" s="55"/>
      <c r="E60" s="55"/>
      <c r="F60" s="55"/>
      <c r="G60" s="55"/>
      <c r="H60" s="55"/>
      <c r="I60" s="55"/>
      <c r="J60" s="50"/>
    </row>
    <row r="61" spans="1:10" ht="24.95" customHeight="1">
      <c r="A61" s="49"/>
      <c r="B61" s="55"/>
      <c r="C61" s="55"/>
      <c r="D61" s="55"/>
      <c r="E61" s="55"/>
      <c r="F61" s="55"/>
      <c r="G61" s="55"/>
      <c r="H61" s="55"/>
      <c r="I61" s="55"/>
      <c r="J61" s="50"/>
    </row>
    <row r="62" spans="1:10" ht="24.95" customHeight="1">
      <c r="A62" s="49"/>
      <c r="B62" s="55"/>
      <c r="C62" s="55"/>
      <c r="D62" s="55"/>
      <c r="E62" s="55"/>
      <c r="F62" s="55"/>
      <c r="G62" s="55"/>
      <c r="H62" s="55"/>
      <c r="I62" s="55"/>
      <c r="J62" s="50"/>
    </row>
    <row r="63" spans="1:10" ht="24.95" customHeight="1">
      <c r="A63" s="49"/>
      <c r="B63" s="55"/>
      <c r="C63" s="55"/>
      <c r="D63" s="55"/>
      <c r="E63" s="55"/>
      <c r="F63" s="55"/>
      <c r="G63" s="55"/>
      <c r="H63" s="55"/>
      <c r="I63" s="55" t="str">
        <f>I54</f>
        <v>Tanggal 1 Juli 2021</v>
      </c>
      <c r="J63" s="50"/>
    </row>
    <row r="64" spans="1:10" ht="24.95" customHeight="1">
      <c r="A64" s="42"/>
      <c r="B64" s="43"/>
      <c r="C64" s="43"/>
      <c r="D64" s="43"/>
      <c r="E64" s="43"/>
      <c r="F64" s="43"/>
      <c r="G64" s="43"/>
      <c r="H64" s="43"/>
      <c r="I64" s="43"/>
      <c r="J64" s="44"/>
    </row>
    <row r="65" spans="1:10" ht="15" customHeight="1">
      <c r="A65" s="131"/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ht="15" customHeight="1">
      <c r="A66" s="129" t="s">
        <v>96</v>
      </c>
      <c r="B66" s="55" t="s">
        <v>85</v>
      </c>
      <c r="C66" s="55"/>
      <c r="D66" s="55"/>
      <c r="E66" s="55"/>
      <c r="F66" s="55"/>
      <c r="G66" s="55"/>
      <c r="H66" s="55"/>
      <c r="I66" s="55"/>
      <c r="J66" s="50"/>
    </row>
    <row r="67" spans="1:10" ht="15" customHeight="1">
      <c r="A67" s="49"/>
      <c r="B67" s="55" t="s">
        <v>86</v>
      </c>
      <c r="C67" s="55"/>
      <c r="D67" s="55"/>
      <c r="E67" s="55"/>
      <c r="F67" s="55"/>
      <c r="G67" s="55"/>
      <c r="H67" s="55"/>
      <c r="I67" s="55"/>
      <c r="J67" s="50"/>
    </row>
    <row r="68" spans="1:10" ht="24.95" customHeight="1">
      <c r="A68" s="49"/>
      <c r="B68" s="55"/>
      <c r="C68" s="55"/>
      <c r="D68" s="55"/>
      <c r="E68" s="55"/>
      <c r="F68" s="55"/>
      <c r="G68" s="55"/>
      <c r="H68" s="55"/>
      <c r="I68" s="55"/>
      <c r="J68" s="50"/>
    </row>
    <row r="69" spans="1:10" ht="24.95" customHeight="1">
      <c r="A69" s="49"/>
      <c r="B69" s="55"/>
      <c r="C69" s="55"/>
      <c r="D69" s="55"/>
      <c r="E69" s="55"/>
      <c r="F69" s="55"/>
      <c r="G69" s="55"/>
      <c r="H69" s="55"/>
      <c r="I69" s="55"/>
      <c r="J69" s="50"/>
    </row>
    <row r="70" spans="1:10" ht="24.95" customHeight="1">
      <c r="A70" s="49"/>
      <c r="B70" s="55"/>
      <c r="C70" s="55"/>
      <c r="D70" s="55"/>
      <c r="E70" s="55"/>
      <c r="F70" s="55"/>
      <c r="G70" s="55"/>
      <c r="H70" s="55"/>
      <c r="I70" s="55"/>
      <c r="J70" s="50"/>
    </row>
    <row r="71" spans="1:10" ht="24.95" customHeight="1">
      <c r="A71" s="49"/>
      <c r="B71" s="55"/>
      <c r="C71" s="55"/>
      <c r="D71" s="55"/>
      <c r="E71" s="55"/>
      <c r="F71" s="55"/>
      <c r="G71" s="55"/>
      <c r="H71" s="55"/>
      <c r="I71" s="55"/>
      <c r="J71" s="50"/>
    </row>
    <row r="72" spans="1:10" ht="24.95" customHeight="1">
      <c r="A72" s="49"/>
      <c r="B72" s="55"/>
      <c r="C72" s="55"/>
      <c r="D72" s="55"/>
      <c r="E72" s="55"/>
      <c r="F72" s="55"/>
      <c r="G72" s="55"/>
      <c r="H72" s="55"/>
      <c r="I72" s="55"/>
      <c r="J72" s="50"/>
    </row>
    <row r="73" spans="1:10" ht="24.95" customHeight="1">
      <c r="A73" s="49"/>
      <c r="B73" s="55"/>
      <c r="C73" s="55"/>
      <c r="D73" s="55"/>
      <c r="E73" s="55"/>
      <c r="F73" s="55"/>
      <c r="G73" s="55"/>
      <c r="H73" s="55"/>
      <c r="I73" s="55" t="str">
        <f>I54</f>
        <v>Tanggal 1 Juli 2021</v>
      </c>
      <c r="J73" s="50"/>
    </row>
    <row r="74" spans="1:10" ht="24.95" customHeight="1">
      <c r="A74" s="42"/>
      <c r="B74" s="43"/>
      <c r="C74" s="43"/>
      <c r="D74" s="43"/>
      <c r="E74" s="43"/>
      <c r="F74" s="43"/>
      <c r="G74" s="43"/>
      <c r="H74" s="43"/>
      <c r="I74" s="43"/>
      <c r="J74" s="44"/>
    </row>
    <row r="75" spans="1:10" ht="15" customHeight="1">
      <c r="A75" s="131"/>
      <c r="B75" s="132"/>
      <c r="C75" s="132"/>
      <c r="D75" s="132"/>
      <c r="E75" s="132"/>
      <c r="F75" s="132"/>
      <c r="G75" s="132"/>
      <c r="H75" s="132"/>
      <c r="I75" s="132"/>
      <c r="J75" s="133"/>
    </row>
    <row r="76" spans="1:10" ht="15" customHeight="1">
      <c r="A76" s="129" t="s">
        <v>95</v>
      </c>
      <c r="B76" s="55" t="s">
        <v>87</v>
      </c>
      <c r="C76" s="55"/>
      <c r="D76" s="55"/>
      <c r="E76" s="55"/>
      <c r="F76" s="55"/>
      <c r="G76" s="55"/>
      <c r="H76" s="55"/>
      <c r="I76" s="55"/>
      <c r="J76" s="50"/>
    </row>
    <row r="77" spans="1:10" ht="24.95" customHeight="1">
      <c r="A77" s="49"/>
      <c r="B77" s="55"/>
      <c r="C77" s="55"/>
      <c r="D77" s="55"/>
      <c r="E77" s="55"/>
      <c r="F77" s="55"/>
      <c r="G77" s="55"/>
      <c r="H77" s="55"/>
      <c r="I77" s="55"/>
      <c r="J77" s="50"/>
    </row>
    <row r="78" spans="1:10" ht="24.95" customHeight="1">
      <c r="A78" s="49"/>
      <c r="B78" s="55"/>
      <c r="C78" s="55"/>
      <c r="D78" s="55"/>
      <c r="E78" s="55"/>
      <c r="F78" s="55"/>
      <c r="G78" s="55"/>
      <c r="H78" s="55"/>
      <c r="I78" s="55"/>
      <c r="J78" s="50"/>
    </row>
    <row r="79" spans="1:10" ht="24.95" customHeight="1">
      <c r="A79" s="49"/>
      <c r="B79" s="55"/>
      <c r="C79" s="55"/>
      <c r="D79" s="55"/>
      <c r="E79" s="55"/>
      <c r="F79" s="55"/>
      <c r="G79" s="55"/>
      <c r="H79" s="55"/>
      <c r="I79" s="55"/>
      <c r="J79" s="50"/>
    </row>
    <row r="80" spans="1:10" ht="24.95" customHeight="1">
      <c r="A80" s="49"/>
      <c r="B80" s="55"/>
      <c r="C80" s="55"/>
      <c r="D80" s="55"/>
      <c r="E80" s="55"/>
      <c r="F80" s="55"/>
      <c r="G80" s="55"/>
      <c r="H80" s="55"/>
      <c r="I80" s="55"/>
      <c r="J80" s="50"/>
    </row>
    <row r="81" spans="1:10" ht="24.95" customHeight="1">
      <c r="A81" s="49"/>
      <c r="B81" s="55"/>
      <c r="C81" s="55"/>
      <c r="D81" s="55"/>
      <c r="E81" s="55"/>
      <c r="F81" s="55"/>
      <c r="G81" s="55"/>
      <c r="H81" s="55"/>
      <c r="I81" s="55"/>
      <c r="J81" s="50"/>
    </row>
    <row r="82" spans="1:10" ht="24.95" customHeight="1">
      <c r="A82" s="49"/>
      <c r="B82" s="55"/>
      <c r="C82" s="55"/>
      <c r="D82" s="55"/>
      <c r="E82" s="55"/>
      <c r="F82" s="55"/>
      <c r="G82" s="55"/>
      <c r="H82" s="55"/>
      <c r="I82" s="55"/>
      <c r="J82" s="50"/>
    </row>
    <row r="83" spans="1:10" ht="1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0" ht="1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5" customHeight="1">
      <c r="A85" s="123"/>
      <c r="B85" s="132"/>
      <c r="C85" s="132"/>
      <c r="D85" s="132"/>
      <c r="E85" s="132"/>
      <c r="F85" s="132"/>
      <c r="G85" s="137"/>
      <c r="H85" s="132"/>
      <c r="I85" s="132"/>
      <c r="J85" s="133"/>
    </row>
    <row r="86" spans="1:10" ht="15" customHeight="1">
      <c r="A86" s="136"/>
      <c r="B86" s="55"/>
      <c r="C86" s="55"/>
      <c r="D86" s="55"/>
      <c r="E86" s="55"/>
      <c r="F86" s="55"/>
      <c r="G86" s="56" t="s">
        <v>93</v>
      </c>
      <c r="H86" s="55" t="s">
        <v>505</v>
      </c>
      <c r="I86" s="55"/>
      <c r="J86" s="50"/>
    </row>
    <row r="87" spans="1:10" ht="15" customHeight="1">
      <c r="A87" s="49"/>
      <c r="B87" s="55"/>
      <c r="C87" s="55"/>
      <c r="D87" s="55"/>
      <c r="E87" s="55"/>
      <c r="F87" s="55"/>
      <c r="G87" s="55"/>
      <c r="H87" s="288" t="s">
        <v>68</v>
      </c>
      <c r="I87" s="288"/>
      <c r="J87" s="289"/>
    </row>
    <row r="88" spans="1:10" ht="24.95" customHeight="1">
      <c r="A88" s="49"/>
      <c r="B88" s="55"/>
      <c r="C88" s="55"/>
      <c r="D88" s="55"/>
      <c r="E88" s="55"/>
      <c r="F88" s="55"/>
      <c r="G88" s="55"/>
      <c r="H88" s="55"/>
      <c r="I88" s="55"/>
      <c r="J88" s="50"/>
    </row>
    <row r="89" spans="1:10" ht="24.95" customHeight="1">
      <c r="A89" s="49"/>
      <c r="B89" s="55"/>
      <c r="C89" s="55"/>
      <c r="D89" s="55"/>
      <c r="E89" s="55"/>
      <c r="F89" s="55"/>
      <c r="G89" s="55"/>
      <c r="H89" s="55"/>
      <c r="I89" s="55"/>
      <c r="J89" s="50"/>
    </row>
    <row r="90" spans="1:10" ht="24.95" customHeight="1">
      <c r="A90" s="49"/>
      <c r="B90" s="55"/>
      <c r="C90" s="55"/>
      <c r="D90" s="55"/>
      <c r="E90" s="55"/>
      <c r="F90" s="55"/>
      <c r="G90" s="55"/>
      <c r="H90" s="55"/>
      <c r="I90" s="55"/>
      <c r="J90" s="50"/>
    </row>
    <row r="91" spans="1:10" ht="24.95" customHeight="1">
      <c r="A91" s="49"/>
      <c r="B91" s="55"/>
      <c r="C91" s="55"/>
      <c r="D91" s="55"/>
      <c r="E91" s="55"/>
      <c r="F91" s="55"/>
      <c r="G91" s="55"/>
      <c r="H91" s="55"/>
      <c r="I91" s="55"/>
      <c r="J91" s="50"/>
    </row>
    <row r="92" spans="1:10" ht="15" customHeight="1">
      <c r="A92" s="49"/>
      <c r="B92" s="55"/>
      <c r="C92" s="55"/>
      <c r="D92" s="55"/>
      <c r="E92" s="55"/>
      <c r="F92" s="55"/>
      <c r="G92" s="55"/>
      <c r="H92" s="287" t="str">
        <f>G20</f>
        <v>George Endri Kusuma, ST., MSc.Eng.</v>
      </c>
      <c r="I92" s="287"/>
      <c r="J92" s="290"/>
    </row>
    <row r="93" spans="1:10" ht="15" customHeight="1">
      <c r="A93" s="49"/>
      <c r="B93" s="55"/>
      <c r="C93" s="55"/>
      <c r="D93" s="55"/>
      <c r="E93" s="55"/>
      <c r="F93" s="55"/>
      <c r="G93" s="55"/>
      <c r="H93" s="288" t="str">
        <f>G21</f>
        <v>197605172009121003</v>
      </c>
      <c r="I93" s="288"/>
      <c r="J93" s="289"/>
    </row>
    <row r="94" spans="1:10" ht="24.95" customHeight="1">
      <c r="A94" s="49"/>
      <c r="B94" s="55"/>
      <c r="C94" s="55"/>
      <c r="D94" s="55"/>
      <c r="E94" s="55"/>
      <c r="F94" s="55"/>
      <c r="G94" s="55"/>
      <c r="H94" s="55"/>
      <c r="I94" s="55"/>
      <c r="J94" s="50"/>
    </row>
    <row r="95" spans="1:10" ht="15" customHeight="1">
      <c r="A95" s="129" t="s">
        <v>94</v>
      </c>
      <c r="B95" s="223" t="s">
        <v>506</v>
      </c>
      <c r="C95" s="223"/>
      <c r="D95" s="223"/>
      <c r="E95" s="223"/>
      <c r="F95" s="223"/>
      <c r="G95" s="55"/>
      <c r="H95" s="55"/>
      <c r="I95" s="55"/>
      <c r="J95" s="50"/>
    </row>
    <row r="96" spans="1:10" ht="15" customHeight="1">
      <c r="A96" s="49"/>
      <c r="B96" s="288" t="s">
        <v>88</v>
      </c>
      <c r="C96" s="288"/>
      <c r="D96" s="288"/>
      <c r="E96" s="288"/>
      <c r="F96" s="288"/>
      <c r="G96" s="55"/>
      <c r="H96" s="55"/>
      <c r="I96" s="55"/>
      <c r="J96" s="50"/>
    </row>
    <row r="97" spans="1:10" ht="15" customHeight="1">
      <c r="A97" s="49"/>
      <c r="B97" s="288" t="s">
        <v>89</v>
      </c>
      <c r="C97" s="288"/>
      <c r="D97" s="288"/>
      <c r="E97" s="288"/>
      <c r="F97" s="288"/>
      <c r="G97" s="55"/>
      <c r="H97" s="55"/>
      <c r="I97" s="55"/>
      <c r="J97" s="50"/>
    </row>
    <row r="98" spans="1:10" ht="24.95" customHeight="1">
      <c r="A98" s="49"/>
      <c r="B98" s="55"/>
      <c r="C98" s="55"/>
      <c r="D98" s="55"/>
      <c r="E98" s="55"/>
      <c r="F98" s="55"/>
      <c r="G98" s="55"/>
      <c r="H98" s="55"/>
      <c r="I98" s="55"/>
      <c r="J98" s="50"/>
    </row>
    <row r="99" spans="1:10" ht="24.95" customHeight="1">
      <c r="A99" s="49"/>
      <c r="B99" s="55"/>
      <c r="C99" s="55"/>
      <c r="D99" s="55"/>
      <c r="E99" s="55"/>
      <c r="F99" s="55"/>
      <c r="G99" s="55"/>
      <c r="H99" s="55"/>
      <c r="I99" s="55"/>
      <c r="J99" s="50"/>
    </row>
    <row r="100" spans="1:10" ht="24.95" customHeight="1">
      <c r="A100" s="49"/>
      <c r="B100" s="55"/>
      <c r="C100" s="55"/>
      <c r="D100" s="55"/>
      <c r="E100" s="55"/>
      <c r="F100" s="55"/>
      <c r="G100" s="55"/>
      <c r="H100" s="55"/>
      <c r="I100" s="55"/>
      <c r="J100" s="50"/>
    </row>
    <row r="101" spans="1:10" ht="24.95" customHeight="1">
      <c r="A101" s="49"/>
      <c r="B101" s="55"/>
      <c r="C101" s="55"/>
      <c r="D101" s="55"/>
      <c r="E101" s="55"/>
      <c r="F101" s="55"/>
      <c r="G101" s="55"/>
      <c r="H101" s="55"/>
      <c r="I101" s="55"/>
      <c r="J101" s="50"/>
    </row>
    <row r="102" spans="1:10" ht="15" customHeight="1">
      <c r="A102" s="49"/>
      <c r="B102" s="287" t="str">
        <f>G14</f>
        <v>Wiediartini, SE., MT.</v>
      </c>
      <c r="C102" s="287"/>
      <c r="D102" s="287"/>
      <c r="E102" s="287"/>
      <c r="F102" s="287"/>
      <c r="G102" s="55"/>
      <c r="H102" s="55"/>
      <c r="I102" s="55"/>
      <c r="J102" s="50"/>
    </row>
    <row r="103" spans="1:10" ht="15" customHeight="1">
      <c r="A103" s="49"/>
      <c r="B103" s="288" t="str">
        <f>G15</f>
        <v>197604222009122003</v>
      </c>
      <c r="C103" s="288"/>
      <c r="D103" s="288"/>
      <c r="E103" s="288"/>
      <c r="F103" s="288"/>
      <c r="G103" s="55"/>
      <c r="H103" s="55"/>
      <c r="I103" s="55"/>
      <c r="J103" s="50"/>
    </row>
    <row r="104" spans="1:10" ht="24.95" customHeight="1">
      <c r="A104" s="49"/>
      <c r="B104" s="55"/>
      <c r="C104" s="55"/>
      <c r="D104" s="55"/>
      <c r="E104" s="55"/>
      <c r="F104" s="55"/>
      <c r="G104" s="55"/>
      <c r="H104" s="55"/>
      <c r="I104" s="55"/>
      <c r="J104" s="50"/>
    </row>
    <row r="105" spans="1:10" ht="15" customHeight="1">
      <c r="A105" s="49"/>
      <c r="B105" s="55"/>
      <c r="C105" s="55"/>
      <c r="D105" s="55"/>
      <c r="E105" s="55"/>
      <c r="F105" s="55"/>
      <c r="G105" s="56" t="s">
        <v>92</v>
      </c>
      <c r="H105" s="55" t="s">
        <v>507</v>
      </c>
      <c r="I105" s="55"/>
      <c r="J105" s="50"/>
    </row>
    <row r="106" spans="1:10" ht="15" customHeight="1">
      <c r="A106" s="49"/>
      <c r="B106" s="55"/>
      <c r="C106" s="55"/>
      <c r="D106" s="55"/>
      <c r="E106" s="55"/>
      <c r="F106" s="55"/>
      <c r="G106" s="55"/>
      <c r="H106" s="288" t="s">
        <v>90</v>
      </c>
      <c r="I106" s="288"/>
      <c r="J106" s="289"/>
    </row>
    <row r="107" spans="1:10" ht="24.95" customHeight="1">
      <c r="A107" s="49"/>
      <c r="B107" s="55"/>
      <c r="C107" s="55"/>
      <c r="D107" s="55"/>
      <c r="E107" s="55"/>
      <c r="F107" s="55"/>
      <c r="G107" s="55"/>
      <c r="H107" s="55"/>
      <c r="I107" s="55"/>
      <c r="J107" s="50"/>
    </row>
    <row r="108" spans="1:10" ht="24.95" customHeight="1">
      <c r="A108" s="49"/>
      <c r="B108" s="55"/>
      <c r="C108" s="55"/>
      <c r="D108" s="55"/>
      <c r="E108" s="55"/>
      <c r="F108" s="55"/>
      <c r="G108" s="55"/>
      <c r="H108" s="55"/>
      <c r="I108" s="55"/>
      <c r="J108" s="50"/>
    </row>
    <row r="109" spans="1:10" ht="24.95" customHeight="1">
      <c r="A109" s="49"/>
      <c r="B109" s="55"/>
      <c r="C109" s="55"/>
      <c r="D109" s="55"/>
      <c r="E109" s="55"/>
      <c r="F109" s="55"/>
      <c r="G109" s="55"/>
      <c r="H109" s="55"/>
      <c r="I109" s="55"/>
      <c r="J109" s="50"/>
    </row>
    <row r="110" spans="1:10" ht="24.95" customHeight="1">
      <c r="A110" s="49"/>
      <c r="B110" s="55"/>
      <c r="C110" s="55"/>
      <c r="D110" s="55"/>
      <c r="E110" s="55"/>
      <c r="F110" s="55"/>
      <c r="G110" s="55"/>
      <c r="H110" s="55"/>
      <c r="I110" s="55"/>
      <c r="J110" s="50"/>
    </row>
    <row r="111" spans="1:10" ht="15" customHeight="1">
      <c r="A111" s="49"/>
      <c r="B111" s="55"/>
      <c r="C111" s="55"/>
      <c r="D111" s="55"/>
      <c r="E111" s="55"/>
      <c r="F111" s="55"/>
      <c r="G111" s="55"/>
      <c r="H111" s="287" t="str">
        <f>G26</f>
        <v>Dr. Eng. Muh. Anis Mustaghfirin, ST., MT.</v>
      </c>
      <c r="I111" s="287"/>
      <c r="J111" s="290"/>
    </row>
    <row r="112" spans="1:10" ht="15" customHeight="1">
      <c r="A112" s="49"/>
      <c r="B112" s="55"/>
      <c r="C112" s="55"/>
      <c r="D112" s="55"/>
      <c r="E112" s="55"/>
      <c r="F112" s="55"/>
      <c r="G112" s="55"/>
      <c r="H112" s="288" t="str">
        <f>G27</f>
        <v>197208051997021001</v>
      </c>
      <c r="I112" s="288"/>
      <c r="J112" s="289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3"/>
  <sheetViews>
    <sheetView zoomScale="75" zoomScaleNormal="75" workbookViewId="0">
      <pane ySplit="1" topLeftCell="A2" activePane="bottomLeft" state="frozen"/>
      <selection pane="bottomLeft" activeCell="AS15" sqref="AS15"/>
    </sheetView>
  </sheetViews>
  <sheetFormatPr defaultColWidth="9.140625" defaultRowHeight="14.25"/>
  <cols>
    <col min="1" max="1" width="43.42578125" style="143" hidden="1" customWidth="1"/>
    <col min="2" max="2" width="22.28515625" style="143" hidden="1" customWidth="1"/>
    <col min="3" max="3" width="27.140625" style="143" hidden="1" customWidth="1"/>
    <col min="4" max="4" width="9.7109375" style="143" hidden="1" customWidth="1"/>
    <col min="5" max="5" width="18.85546875" style="143" hidden="1" customWidth="1"/>
    <col min="6" max="6" width="31.42578125" style="143" hidden="1" customWidth="1"/>
    <col min="7" max="8" width="22.42578125" style="143" hidden="1" customWidth="1"/>
    <col min="9" max="9" width="35.42578125" style="143" hidden="1" customWidth="1"/>
    <col min="10" max="10" width="26.42578125" style="143" hidden="1" customWidth="1"/>
    <col min="11" max="11" width="24.28515625" style="143" hidden="1" customWidth="1"/>
    <col min="12" max="12" width="28.7109375" style="143" hidden="1" customWidth="1"/>
    <col min="13" max="13" width="28.140625" style="143" hidden="1" customWidth="1"/>
    <col min="14" max="14" width="4.42578125" style="143" hidden="1" customWidth="1"/>
    <col min="15" max="15" width="9.140625" style="143" hidden="1" customWidth="1"/>
    <col min="16" max="16" width="37.42578125" style="143" hidden="1" customWidth="1"/>
    <col min="17" max="17" width="22.28515625" style="143" hidden="1" customWidth="1"/>
    <col min="18" max="18" width="30.28515625" style="143" hidden="1" customWidth="1"/>
    <col min="19" max="19" width="53.42578125" style="143" hidden="1" customWidth="1"/>
    <col min="20" max="20" width="37.42578125" style="143" hidden="1" customWidth="1"/>
    <col min="21" max="21" width="22.28515625" style="143" hidden="1" customWidth="1"/>
    <col min="22" max="22" width="25.85546875" style="143" hidden="1" customWidth="1"/>
    <col min="23" max="23" width="36.28515625" style="143" hidden="1" customWidth="1"/>
    <col min="24" max="24" width="9.140625" style="143" hidden="1" customWidth="1"/>
    <col min="25" max="16384" width="9.140625" style="143"/>
  </cols>
  <sheetData>
    <row r="1" spans="1:23" s="147" customFormat="1" ht="17.25" customHeight="1">
      <c r="A1" s="146" t="s">
        <v>358</v>
      </c>
      <c r="B1" s="146" t="s">
        <v>359</v>
      </c>
      <c r="C1" s="146" t="s">
        <v>360</v>
      </c>
      <c r="D1" s="146" t="s">
        <v>116</v>
      </c>
      <c r="E1" s="151" t="s">
        <v>361</v>
      </c>
      <c r="F1" s="146" t="s">
        <v>362</v>
      </c>
      <c r="G1" s="146" t="s">
        <v>363</v>
      </c>
      <c r="H1" s="146" t="s">
        <v>364</v>
      </c>
      <c r="I1" s="151" t="s">
        <v>365</v>
      </c>
      <c r="J1" s="146" t="s">
        <v>369</v>
      </c>
      <c r="K1" s="146" t="s">
        <v>368</v>
      </c>
      <c r="L1" s="146" t="s">
        <v>367</v>
      </c>
      <c r="M1" s="146" t="s">
        <v>366</v>
      </c>
      <c r="N1" s="146" t="s">
        <v>42</v>
      </c>
      <c r="P1" s="155" t="s">
        <v>377</v>
      </c>
      <c r="Q1" s="155" t="s">
        <v>378</v>
      </c>
      <c r="R1" s="155" t="s">
        <v>379</v>
      </c>
      <c r="S1" s="155" t="s">
        <v>380</v>
      </c>
      <c r="T1" s="155" t="s">
        <v>383</v>
      </c>
      <c r="U1" s="155" t="s">
        <v>384</v>
      </c>
      <c r="V1" s="155" t="s">
        <v>385</v>
      </c>
      <c r="W1" s="155" t="s">
        <v>386</v>
      </c>
    </row>
    <row r="2" spans="1:23" s="147" customFormat="1" ht="17.25" customHeight="1">
      <c r="A2" s="152" t="s">
        <v>390</v>
      </c>
      <c r="B2" s="145" t="s">
        <v>132</v>
      </c>
      <c r="C2" s="145" t="str">
        <f t="shared" ref="C2:C33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/ III/c</v>
      </c>
      <c r="D2" s="149" t="s">
        <v>117</v>
      </c>
      <c r="E2" s="152" t="s">
        <v>133</v>
      </c>
      <c r="F2" s="154" t="s">
        <v>410</v>
      </c>
      <c r="G2" s="144" t="str">
        <f>VLOOKUP(F2,$P$2:$W$28,2,FALSE)</f>
        <v>196910151995011001</v>
      </c>
      <c r="H2" s="144" t="str">
        <f t="shared" ref="H2:H33" si="1">VLOOKUP(F2,$P$2:$W$28,3,FALSE)</f>
        <v>Penata Tingkat I / III/d</v>
      </c>
      <c r="I2" s="150" t="str">
        <f t="shared" ref="I2:I33" si="2">VLOOKUP(F2,$P$2:$W$28,4,FALSE)</f>
        <v>Ketua Jurusan Teknik Bangunan Kapal</v>
      </c>
      <c r="J2" s="153" t="str">
        <f t="shared" ref="J2:J33" si="3">VLOOKUP(F2,$P$2:$W$28,5,FALSE)</f>
        <v>Dr. Eng. Muh. Anis Mustaghfirin, ST., MT.</v>
      </c>
      <c r="K2" s="145" t="str">
        <f t="shared" ref="K2:K33" si="4">VLOOKUP(F2,$P$2:$W$28,6,FALSE)</f>
        <v>197208051997021001</v>
      </c>
      <c r="L2" s="145" t="str">
        <f t="shared" ref="L2:L33" si="5">VLOOKUP(F2,$P$2:$W$28,7,FALSE)</f>
        <v>Penata Tingkat I / III/d</v>
      </c>
      <c r="M2" s="145" t="str">
        <f t="shared" ref="M2:M33" si="6">VLOOKUP(F2,$P$2:$W$28,8,FALSE)</f>
        <v>Wakil Direktur I</v>
      </c>
      <c r="N2" s="148">
        <v>1</v>
      </c>
      <c r="P2" s="156" t="s">
        <v>413</v>
      </c>
      <c r="Q2" s="157" t="s">
        <v>235</v>
      </c>
      <c r="R2" s="156" t="s">
        <v>381</v>
      </c>
      <c r="S2" s="156" t="s">
        <v>236</v>
      </c>
      <c r="T2" s="156"/>
      <c r="U2" s="157"/>
      <c r="V2" s="156"/>
      <c r="W2" s="156"/>
    </row>
    <row r="3" spans="1:23" s="147" customFormat="1" ht="17.25" customHeight="1">
      <c r="A3" s="152" t="s">
        <v>455</v>
      </c>
      <c r="B3" s="145" t="s">
        <v>486</v>
      </c>
      <c r="C3" s="145" t="str">
        <f t="shared" si="0"/>
        <v>Penata Muda Tingkat I / III/b</v>
      </c>
      <c r="D3" s="149" t="s">
        <v>118</v>
      </c>
      <c r="E3" s="152" t="s">
        <v>136</v>
      </c>
      <c r="F3" s="154" t="s">
        <v>215</v>
      </c>
      <c r="G3" s="144" t="str">
        <f>VLOOKUP(F3,$P$2:$W$28,2,FALSE)</f>
        <v>197605172009121003</v>
      </c>
      <c r="H3" s="144" t="str">
        <f t="shared" si="1"/>
        <v>Penata / III/c</v>
      </c>
      <c r="I3" s="150" t="str">
        <f t="shared" si="2"/>
        <v>Ketua Jurusan Teknik Permesinan Kapal</v>
      </c>
      <c r="J3" s="153" t="str">
        <f t="shared" si="3"/>
        <v>Dr. Eng. Muh. Anis Mustaghfirin, ST., MT.</v>
      </c>
      <c r="K3" s="145" t="str">
        <f t="shared" si="4"/>
        <v>197208051997021001</v>
      </c>
      <c r="L3" s="145" t="str">
        <f t="shared" si="5"/>
        <v>Penata Tingkat I / III/d</v>
      </c>
      <c r="M3" s="145" t="str">
        <f t="shared" si="6"/>
        <v>Wakil Direktur I</v>
      </c>
      <c r="N3" s="148">
        <v>2</v>
      </c>
      <c r="P3" s="156" t="s">
        <v>424</v>
      </c>
      <c r="Q3" s="157" t="s">
        <v>195</v>
      </c>
      <c r="R3" s="156" t="s">
        <v>111</v>
      </c>
      <c r="S3" s="156" t="s">
        <v>139</v>
      </c>
      <c r="T3" s="156" t="s">
        <v>413</v>
      </c>
      <c r="U3" s="157" t="s">
        <v>235</v>
      </c>
      <c r="V3" s="156" t="s">
        <v>381</v>
      </c>
      <c r="W3" s="156" t="s">
        <v>236</v>
      </c>
    </row>
    <row r="4" spans="1:23" s="147" customFormat="1" ht="17.25" customHeight="1">
      <c r="A4" s="152" t="s">
        <v>134</v>
      </c>
      <c r="B4" s="145" t="s">
        <v>135</v>
      </c>
      <c r="C4" s="145" t="str">
        <f t="shared" si="0"/>
        <v>Penata / III/c</v>
      </c>
      <c r="D4" s="149" t="s">
        <v>117</v>
      </c>
      <c r="E4" s="152" t="s">
        <v>155</v>
      </c>
      <c r="F4" s="154" t="s">
        <v>215</v>
      </c>
      <c r="G4" s="144" t="str">
        <f>VLOOKUP(F4,$P$2:$W$28,2,FALSE)</f>
        <v>197605172009121003</v>
      </c>
      <c r="H4" s="144" t="str">
        <f t="shared" si="1"/>
        <v>Penata / III/c</v>
      </c>
      <c r="I4" s="150" t="str">
        <f t="shared" si="2"/>
        <v>Ketua Jurusan Teknik Permesinan Kapal</v>
      </c>
      <c r="J4" s="153" t="str">
        <f t="shared" si="3"/>
        <v>Dr. Eng. Muh. Anis Mustaghfirin, ST., MT.</v>
      </c>
      <c r="K4" s="145" t="str">
        <f t="shared" si="4"/>
        <v>197208051997021001</v>
      </c>
      <c r="L4" s="145" t="str">
        <f t="shared" si="5"/>
        <v>Penata Tingkat I / III/d</v>
      </c>
      <c r="M4" s="145" t="str">
        <f t="shared" si="6"/>
        <v>Wakil Direktur I</v>
      </c>
      <c r="N4" s="148">
        <v>3</v>
      </c>
      <c r="P4" s="156" t="s">
        <v>113</v>
      </c>
      <c r="Q4" s="157" t="s">
        <v>114</v>
      </c>
      <c r="R4" s="156" t="s">
        <v>111</v>
      </c>
      <c r="S4" s="156" t="s">
        <v>115</v>
      </c>
      <c r="T4" s="156" t="s">
        <v>413</v>
      </c>
      <c r="U4" s="157" t="s">
        <v>235</v>
      </c>
      <c r="V4" s="156" t="s">
        <v>381</v>
      </c>
      <c r="W4" s="156" t="s">
        <v>236</v>
      </c>
    </row>
    <row r="5" spans="1:23" s="147" customFormat="1" ht="17.25" customHeight="1">
      <c r="A5" s="152" t="s">
        <v>137</v>
      </c>
      <c r="B5" s="145" t="s">
        <v>138</v>
      </c>
      <c r="C5" s="145" t="str">
        <f t="shared" si="0"/>
        <v>Pembina Tingkat I / IV/b</v>
      </c>
      <c r="D5" s="149" t="s">
        <v>200</v>
      </c>
      <c r="E5" s="152" t="s">
        <v>164</v>
      </c>
      <c r="F5" s="154" t="s">
        <v>215</v>
      </c>
      <c r="G5" s="144" t="str">
        <f t="shared" ref="G5:G33" si="7">VLOOKUP(F5,$P$2:$W$28,2,FALSE)</f>
        <v>197605172009121003</v>
      </c>
      <c r="H5" s="144" t="str">
        <f t="shared" si="1"/>
        <v>Penata / III/c</v>
      </c>
      <c r="I5" s="150" t="str">
        <f t="shared" si="2"/>
        <v>Ketua Jurusan Teknik Permesinan Kapal</v>
      </c>
      <c r="J5" s="153" t="str">
        <f t="shared" si="3"/>
        <v>Dr. Eng. Muh. Anis Mustaghfirin, ST., MT.</v>
      </c>
      <c r="K5" s="145" t="str">
        <f t="shared" si="4"/>
        <v>197208051997021001</v>
      </c>
      <c r="L5" s="145" t="str">
        <f t="shared" si="5"/>
        <v>Penata Tingkat I / III/d</v>
      </c>
      <c r="M5" s="145" t="str">
        <f t="shared" si="6"/>
        <v>Wakil Direktur I</v>
      </c>
      <c r="N5" s="148">
        <v>4</v>
      </c>
      <c r="P5" s="156" t="s">
        <v>229</v>
      </c>
      <c r="Q5" s="157" t="s">
        <v>230</v>
      </c>
      <c r="R5" s="156" t="s">
        <v>106</v>
      </c>
      <c r="S5" s="156" t="s">
        <v>309</v>
      </c>
      <c r="T5" s="156" t="s">
        <v>413</v>
      </c>
      <c r="U5" s="157" t="s">
        <v>235</v>
      </c>
      <c r="V5" s="156" t="s">
        <v>381</v>
      </c>
      <c r="W5" s="156" t="s">
        <v>236</v>
      </c>
    </row>
    <row r="6" spans="1:23" s="147" customFormat="1" ht="17.25" customHeight="1">
      <c r="A6" s="152" t="s">
        <v>140</v>
      </c>
      <c r="B6" s="145" t="s">
        <v>141</v>
      </c>
      <c r="C6" s="145" t="str">
        <f t="shared" si="0"/>
        <v>Penata Muda Tingkat I / III/b</v>
      </c>
      <c r="D6" s="149" t="s">
        <v>118</v>
      </c>
      <c r="E6" s="152" t="s">
        <v>142</v>
      </c>
      <c r="F6" s="154" t="s">
        <v>398</v>
      </c>
      <c r="G6" s="144" t="str">
        <f t="shared" si="7"/>
        <v>196907131995011001</v>
      </c>
      <c r="H6" s="144" t="str">
        <f t="shared" si="1"/>
        <v>Penata Tingkat I / III/d</v>
      </c>
      <c r="I6" s="150" t="str">
        <f t="shared" si="2"/>
        <v>Ketua Jurusan Teknik Kelistrikan Kapal</v>
      </c>
      <c r="J6" s="153" t="str">
        <f t="shared" si="3"/>
        <v>Dr. Eng. Muh. Anis Mustaghfirin, ST., MT.</v>
      </c>
      <c r="K6" s="145" t="str">
        <f t="shared" si="4"/>
        <v>197208051997021001</v>
      </c>
      <c r="L6" s="145" t="str">
        <f t="shared" si="5"/>
        <v>Penata Tingkat I / III/d</v>
      </c>
      <c r="M6" s="145" t="str">
        <f t="shared" si="6"/>
        <v>Wakil Direktur I</v>
      </c>
      <c r="N6" s="148">
        <v>5</v>
      </c>
      <c r="P6" s="156" t="s">
        <v>410</v>
      </c>
      <c r="Q6" s="157" t="s">
        <v>325</v>
      </c>
      <c r="R6" s="156" t="s">
        <v>111</v>
      </c>
      <c r="S6" s="156" t="s">
        <v>372</v>
      </c>
      <c r="T6" s="156" t="s">
        <v>424</v>
      </c>
      <c r="U6" s="157" t="s">
        <v>195</v>
      </c>
      <c r="V6" s="156" t="s">
        <v>111</v>
      </c>
      <c r="W6" s="156" t="s">
        <v>139</v>
      </c>
    </row>
    <row r="7" spans="1:23" s="147" customFormat="1" ht="17.25" customHeight="1">
      <c r="A7" s="152" t="s">
        <v>388</v>
      </c>
      <c r="B7" s="145" t="s">
        <v>143</v>
      </c>
      <c r="C7" s="145" t="str">
        <f t="shared" si="0"/>
        <v>Penata Muda Tingkat I / III/b</v>
      </c>
      <c r="D7" s="149" t="s">
        <v>118</v>
      </c>
      <c r="E7" s="152" t="s">
        <v>142</v>
      </c>
      <c r="F7" s="154" t="s">
        <v>410</v>
      </c>
      <c r="G7" s="144" t="str">
        <f t="shared" si="7"/>
        <v>196910151995011001</v>
      </c>
      <c r="H7" s="144" t="str">
        <f t="shared" si="1"/>
        <v>Penata Tingkat I / III/d</v>
      </c>
      <c r="I7" s="150" t="str">
        <f t="shared" si="2"/>
        <v>Ketua Jurusan Teknik Bangunan Kapal</v>
      </c>
      <c r="J7" s="153" t="str">
        <f t="shared" si="3"/>
        <v>Dr. Eng. Muh. Anis Mustaghfirin, ST., MT.</v>
      </c>
      <c r="K7" s="145" t="str">
        <f t="shared" si="4"/>
        <v>197208051997021001</v>
      </c>
      <c r="L7" s="145" t="str">
        <f t="shared" si="5"/>
        <v>Penata Tingkat I / III/d</v>
      </c>
      <c r="M7" s="145" t="str">
        <f t="shared" si="6"/>
        <v>Wakil Direktur I</v>
      </c>
      <c r="N7" s="148">
        <v>6</v>
      </c>
      <c r="P7" s="156" t="s">
        <v>215</v>
      </c>
      <c r="Q7" s="157" t="s">
        <v>216</v>
      </c>
      <c r="R7" s="156" t="s">
        <v>106</v>
      </c>
      <c r="S7" s="156" t="s">
        <v>373</v>
      </c>
      <c r="T7" s="156" t="s">
        <v>424</v>
      </c>
      <c r="U7" s="157" t="s">
        <v>195</v>
      </c>
      <c r="V7" s="156" t="s">
        <v>111</v>
      </c>
      <c r="W7" s="156" t="s">
        <v>139</v>
      </c>
    </row>
    <row r="8" spans="1:23" s="147" customFormat="1" ht="17.25" customHeight="1">
      <c r="A8" s="152" t="s">
        <v>389</v>
      </c>
      <c r="B8" s="145" t="s">
        <v>144</v>
      </c>
      <c r="C8" s="145" t="str">
        <f t="shared" si="0"/>
        <v>Penata Muda Tingkat I / III/b</v>
      </c>
      <c r="D8" s="149" t="s">
        <v>118</v>
      </c>
      <c r="E8" s="152" t="s">
        <v>142</v>
      </c>
      <c r="F8" s="154" t="s">
        <v>398</v>
      </c>
      <c r="G8" s="144" t="str">
        <f t="shared" si="7"/>
        <v>196907131995011001</v>
      </c>
      <c r="H8" s="144" t="str">
        <f t="shared" si="1"/>
        <v>Penata Tingkat I / III/d</v>
      </c>
      <c r="I8" s="150" t="str">
        <f t="shared" si="2"/>
        <v>Ketua Jurusan Teknik Kelistrikan Kapal</v>
      </c>
      <c r="J8" s="153" t="str">
        <f t="shared" si="3"/>
        <v>Dr. Eng. Muh. Anis Mustaghfirin, ST., MT.</v>
      </c>
      <c r="K8" s="145" t="str">
        <f t="shared" si="4"/>
        <v>197208051997021001</v>
      </c>
      <c r="L8" s="145" t="str">
        <f t="shared" si="5"/>
        <v>Penata Tingkat I / III/d</v>
      </c>
      <c r="M8" s="145" t="str">
        <f t="shared" si="6"/>
        <v>Wakil Direktur I</v>
      </c>
      <c r="N8" s="148">
        <v>7</v>
      </c>
      <c r="P8" s="156" t="s">
        <v>398</v>
      </c>
      <c r="Q8" s="158" t="s">
        <v>217</v>
      </c>
      <c r="R8" s="156" t="s">
        <v>111</v>
      </c>
      <c r="S8" s="156" t="s">
        <v>371</v>
      </c>
      <c r="T8" s="156" t="s">
        <v>424</v>
      </c>
      <c r="U8" s="157" t="s">
        <v>195</v>
      </c>
      <c r="V8" s="156" t="s">
        <v>111</v>
      </c>
      <c r="W8" s="156" t="s">
        <v>139</v>
      </c>
    </row>
    <row r="9" spans="1:23" s="147" customFormat="1" ht="17.25" customHeight="1">
      <c r="A9" s="152" t="s">
        <v>145</v>
      </c>
      <c r="B9" s="145" t="s">
        <v>146</v>
      </c>
      <c r="C9" s="145" t="str">
        <f t="shared" si="0"/>
        <v>Penata Muda Tingkat I / III/b</v>
      </c>
      <c r="D9" s="149" t="s">
        <v>118</v>
      </c>
      <c r="E9" s="152" t="s">
        <v>142</v>
      </c>
      <c r="F9" s="154" t="s">
        <v>215</v>
      </c>
      <c r="G9" s="144" t="str">
        <f t="shared" si="7"/>
        <v>197605172009121003</v>
      </c>
      <c r="H9" s="144" t="str">
        <f t="shared" si="1"/>
        <v>Penata / III/c</v>
      </c>
      <c r="I9" s="150" t="str">
        <f t="shared" si="2"/>
        <v>Ketua Jurusan Teknik Permesinan Kapal</v>
      </c>
      <c r="J9" s="153" t="str">
        <f t="shared" si="3"/>
        <v>Dr. Eng. Muh. Anis Mustaghfirin, ST., MT.</v>
      </c>
      <c r="K9" s="145" t="str">
        <f t="shared" si="4"/>
        <v>197208051997021001</v>
      </c>
      <c r="L9" s="145" t="str">
        <f t="shared" si="5"/>
        <v>Penata Tingkat I / III/d</v>
      </c>
      <c r="M9" s="145" t="str">
        <f t="shared" si="6"/>
        <v>Wakil Direktur I</v>
      </c>
      <c r="N9" s="148">
        <v>8</v>
      </c>
      <c r="P9" s="156" t="s">
        <v>125</v>
      </c>
      <c r="Q9" s="157" t="s">
        <v>126</v>
      </c>
      <c r="R9" s="156" t="s">
        <v>111</v>
      </c>
      <c r="S9" s="156" t="s">
        <v>112</v>
      </c>
      <c r="T9" s="156" t="s">
        <v>113</v>
      </c>
      <c r="U9" s="157" t="s">
        <v>114</v>
      </c>
      <c r="V9" s="156" t="s">
        <v>111</v>
      </c>
      <c r="W9" s="156" t="s">
        <v>115</v>
      </c>
    </row>
    <row r="10" spans="1:23" s="147" customFormat="1" ht="17.25" customHeight="1">
      <c r="A10" s="152" t="s">
        <v>436</v>
      </c>
      <c r="B10" s="145" t="s">
        <v>467</v>
      </c>
      <c r="C10" s="145" t="str">
        <f t="shared" si="0"/>
        <v>Penata Muda Tingkat I / III/b</v>
      </c>
      <c r="D10" s="149" t="s">
        <v>118</v>
      </c>
      <c r="E10" s="152" t="s">
        <v>136</v>
      </c>
      <c r="F10" s="154" t="s">
        <v>410</v>
      </c>
      <c r="G10" s="144" t="str">
        <f t="shared" si="7"/>
        <v>196910151995011001</v>
      </c>
      <c r="H10" s="144" t="str">
        <f t="shared" si="1"/>
        <v>Penata Tingkat I / III/d</v>
      </c>
      <c r="I10" s="150" t="str">
        <f t="shared" si="2"/>
        <v>Ketua Jurusan Teknik Bangunan Kapal</v>
      </c>
      <c r="J10" s="153" t="str">
        <f t="shared" si="3"/>
        <v>Dr. Eng. Muh. Anis Mustaghfirin, ST., MT.</v>
      </c>
      <c r="K10" s="145" t="str">
        <f t="shared" si="4"/>
        <v>197208051997021001</v>
      </c>
      <c r="L10" s="145" t="str">
        <f t="shared" si="5"/>
        <v>Penata Tingkat I / III/d</v>
      </c>
      <c r="M10" s="145" t="str">
        <f t="shared" si="6"/>
        <v>Wakil Direktur I</v>
      </c>
      <c r="N10" s="148">
        <v>9</v>
      </c>
      <c r="P10" s="156" t="s">
        <v>109</v>
      </c>
      <c r="Q10" s="157" t="s">
        <v>110</v>
      </c>
      <c r="R10" s="156" t="s">
        <v>111</v>
      </c>
      <c r="S10" s="156" t="s">
        <v>131</v>
      </c>
      <c r="T10" s="156" t="s">
        <v>113</v>
      </c>
      <c r="U10" s="157" t="s">
        <v>114</v>
      </c>
      <c r="V10" s="156" t="s">
        <v>111</v>
      </c>
      <c r="W10" s="156" t="s">
        <v>115</v>
      </c>
    </row>
    <row r="11" spans="1:23" s="147" customFormat="1" ht="17.25" customHeight="1">
      <c r="A11" s="152" t="s">
        <v>147</v>
      </c>
      <c r="B11" s="145" t="s">
        <v>148</v>
      </c>
      <c r="C11" s="145" t="str">
        <f t="shared" si="0"/>
        <v>Penata Muda Tingkat I / III/b</v>
      </c>
      <c r="D11" s="149" t="s">
        <v>118</v>
      </c>
      <c r="E11" s="152" t="s">
        <v>142</v>
      </c>
      <c r="F11" s="154" t="s">
        <v>215</v>
      </c>
      <c r="G11" s="144" t="str">
        <f t="shared" si="7"/>
        <v>197605172009121003</v>
      </c>
      <c r="H11" s="144" t="str">
        <f t="shared" si="1"/>
        <v>Penata / III/c</v>
      </c>
      <c r="I11" s="150" t="str">
        <f t="shared" si="2"/>
        <v>Ketua Jurusan Teknik Permesinan Kapal</v>
      </c>
      <c r="J11" s="153" t="str">
        <f t="shared" si="3"/>
        <v>Dr. Eng. Muh. Anis Mustaghfirin, ST., MT.</v>
      </c>
      <c r="K11" s="145" t="str">
        <f t="shared" si="4"/>
        <v>197208051997021001</v>
      </c>
      <c r="L11" s="145" t="str">
        <f t="shared" si="5"/>
        <v>Penata Tingkat I / III/d</v>
      </c>
      <c r="M11" s="145" t="str">
        <f t="shared" si="6"/>
        <v>Wakil Direktur I</v>
      </c>
      <c r="N11" s="148">
        <v>10</v>
      </c>
      <c r="P11" s="156" t="s">
        <v>425</v>
      </c>
      <c r="Q11" s="157" t="s">
        <v>426</v>
      </c>
      <c r="R11" s="156" t="s">
        <v>111</v>
      </c>
      <c r="S11" s="156" t="s">
        <v>127</v>
      </c>
      <c r="T11" s="156" t="s">
        <v>125</v>
      </c>
      <c r="U11" s="157" t="s">
        <v>126</v>
      </c>
      <c r="V11" s="156" t="s">
        <v>111</v>
      </c>
      <c r="W11" s="156" t="s">
        <v>112</v>
      </c>
    </row>
    <row r="12" spans="1:23" s="147" customFormat="1" ht="17.25" customHeight="1">
      <c r="A12" s="208" t="s">
        <v>511</v>
      </c>
      <c r="B12" s="209" t="s">
        <v>514</v>
      </c>
      <c r="C12" s="145" t="str">
        <f t="shared" si="0"/>
        <v>Penata Muda Tingkat I / III/b</v>
      </c>
      <c r="D12" s="209" t="s">
        <v>118</v>
      </c>
      <c r="E12" s="152" t="s">
        <v>136</v>
      </c>
      <c r="F12" s="154" t="s">
        <v>398</v>
      </c>
      <c r="G12" s="144" t="str">
        <f t="shared" si="7"/>
        <v>196907131995011001</v>
      </c>
      <c r="H12" s="144" t="str">
        <f t="shared" si="1"/>
        <v>Penata Tingkat I / III/d</v>
      </c>
      <c r="I12" s="150" t="str">
        <f t="shared" si="2"/>
        <v>Ketua Jurusan Teknik Kelistrikan Kapal</v>
      </c>
      <c r="J12" s="153" t="str">
        <f t="shared" si="3"/>
        <v>Dr. Eng. Muh. Anis Mustaghfirin, ST., MT.</v>
      </c>
      <c r="K12" s="145" t="str">
        <f t="shared" si="4"/>
        <v>197208051997021001</v>
      </c>
      <c r="L12" s="145" t="str">
        <f t="shared" si="5"/>
        <v>Penata Tingkat I / III/d</v>
      </c>
      <c r="M12" s="145" t="str">
        <f t="shared" si="6"/>
        <v>Wakil Direktur I</v>
      </c>
      <c r="N12" s="148">
        <v>11</v>
      </c>
      <c r="P12" s="156" t="s">
        <v>119</v>
      </c>
      <c r="Q12" s="157" t="s">
        <v>120</v>
      </c>
      <c r="R12" s="156" t="s">
        <v>111</v>
      </c>
      <c r="S12" s="156" t="s">
        <v>107</v>
      </c>
      <c r="T12" s="156" t="s">
        <v>125</v>
      </c>
      <c r="U12" s="157" t="s">
        <v>126</v>
      </c>
      <c r="V12" s="156" t="s">
        <v>111</v>
      </c>
      <c r="W12" s="156" t="s">
        <v>112</v>
      </c>
    </row>
    <row r="13" spans="1:23" s="147" customFormat="1" ht="17.25" customHeight="1">
      <c r="A13" s="152" t="s">
        <v>149</v>
      </c>
      <c r="B13" s="145" t="s">
        <v>150</v>
      </c>
      <c r="C13" s="145" t="str">
        <f t="shared" si="0"/>
        <v>Penata Muda Tingkat I / III/b</v>
      </c>
      <c r="D13" s="149" t="s">
        <v>118</v>
      </c>
      <c r="E13" s="152" t="s">
        <v>142</v>
      </c>
      <c r="F13" s="154" t="s">
        <v>215</v>
      </c>
      <c r="G13" s="144" t="str">
        <f t="shared" si="7"/>
        <v>197605172009121003</v>
      </c>
      <c r="H13" s="144" t="str">
        <f t="shared" si="1"/>
        <v>Penata / III/c</v>
      </c>
      <c r="I13" s="150" t="str">
        <f t="shared" si="2"/>
        <v>Ketua Jurusan Teknik Permesinan Kapal</v>
      </c>
      <c r="J13" s="153" t="str">
        <f t="shared" si="3"/>
        <v>Dr. Eng. Muh. Anis Mustaghfirin, ST., MT.</v>
      </c>
      <c r="K13" s="145" t="str">
        <f t="shared" si="4"/>
        <v>197208051997021001</v>
      </c>
      <c r="L13" s="145" t="str">
        <f t="shared" si="5"/>
        <v>Penata Tingkat I / III/d</v>
      </c>
      <c r="M13" s="145" t="str">
        <f t="shared" si="6"/>
        <v>Wakil Direktur I</v>
      </c>
      <c r="N13" s="148">
        <v>12</v>
      </c>
      <c r="P13" s="156" t="s">
        <v>427</v>
      </c>
      <c r="Q13" s="157" t="s">
        <v>428</v>
      </c>
      <c r="R13" s="156" t="s">
        <v>106</v>
      </c>
      <c r="S13" s="156" t="s">
        <v>376</v>
      </c>
      <c r="T13" s="156" t="s">
        <v>109</v>
      </c>
      <c r="U13" s="157" t="s">
        <v>110</v>
      </c>
      <c r="V13" s="156" t="s">
        <v>111</v>
      </c>
      <c r="W13" s="156" t="s">
        <v>131</v>
      </c>
    </row>
    <row r="14" spans="1:23" s="147" customFormat="1" ht="17.25" customHeight="1">
      <c r="A14" s="152" t="s">
        <v>151</v>
      </c>
      <c r="B14" s="145" t="s">
        <v>152</v>
      </c>
      <c r="C14" s="145" t="str">
        <f t="shared" si="0"/>
        <v>Penata / III/c</v>
      </c>
      <c r="D14" s="149" t="s">
        <v>117</v>
      </c>
      <c r="E14" s="152" t="s">
        <v>133</v>
      </c>
      <c r="F14" s="154" t="s">
        <v>410</v>
      </c>
      <c r="G14" s="144" t="str">
        <f t="shared" si="7"/>
        <v>196910151995011001</v>
      </c>
      <c r="H14" s="144" t="str">
        <f t="shared" si="1"/>
        <v>Penata Tingkat I / III/d</v>
      </c>
      <c r="I14" s="150" t="str">
        <f t="shared" si="2"/>
        <v>Ketua Jurusan Teknik Bangunan Kapal</v>
      </c>
      <c r="J14" s="153" t="str">
        <f t="shared" si="3"/>
        <v>Dr. Eng. Muh. Anis Mustaghfirin, ST., MT.</v>
      </c>
      <c r="K14" s="145" t="str">
        <f t="shared" si="4"/>
        <v>197208051997021001</v>
      </c>
      <c r="L14" s="145" t="str">
        <f t="shared" si="5"/>
        <v>Penata Tingkat I / III/d</v>
      </c>
      <c r="M14" s="145" t="str">
        <f t="shared" si="6"/>
        <v>Wakil Direktur I</v>
      </c>
      <c r="N14" s="148">
        <v>13</v>
      </c>
      <c r="P14" s="156" t="s">
        <v>121</v>
      </c>
      <c r="Q14" s="157" t="s">
        <v>122</v>
      </c>
      <c r="R14" s="156" t="s">
        <v>111</v>
      </c>
      <c r="S14" s="156" t="s">
        <v>124</v>
      </c>
      <c r="T14" s="156" t="s">
        <v>109</v>
      </c>
      <c r="U14" s="157" t="s">
        <v>110</v>
      </c>
      <c r="V14" s="156" t="s">
        <v>111</v>
      </c>
      <c r="W14" s="156" t="s">
        <v>131</v>
      </c>
    </row>
    <row r="15" spans="1:23" s="147" customFormat="1" ht="17.25" customHeight="1">
      <c r="A15" s="152" t="s">
        <v>391</v>
      </c>
      <c r="B15" s="187" t="s">
        <v>404</v>
      </c>
      <c r="C15" s="145" t="str">
        <f t="shared" si="0"/>
        <v>Penata Muda Tingkat I / III/b</v>
      </c>
      <c r="D15" s="149" t="s">
        <v>118</v>
      </c>
      <c r="E15" s="152" t="s">
        <v>142</v>
      </c>
      <c r="F15" s="154" t="s">
        <v>215</v>
      </c>
      <c r="G15" s="144" t="str">
        <f t="shared" si="7"/>
        <v>197605172009121003</v>
      </c>
      <c r="H15" s="144" t="str">
        <f t="shared" si="1"/>
        <v>Penata / III/c</v>
      </c>
      <c r="I15" s="150" t="str">
        <f t="shared" si="2"/>
        <v>Ketua Jurusan Teknik Permesinan Kapal</v>
      </c>
      <c r="J15" s="153" t="str">
        <f t="shared" si="3"/>
        <v>Dr. Eng. Muh. Anis Mustaghfirin, ST., MT.</v>
      </c>
      <c r="K15" s="145" t="str">
        <f t="shared" si="4"/>
        <v>197208051997021001</v>
      </c>
      <c r="L15" s="145" t="str">
        <f t="shared" si="5"/>
        <v>Penata Tingkat I / III/d</v>
      </c>
      <c r="M15" s="145" t="str">
        <f t="shared" si="6"/>
        <v>Wakil Direktur I</v>
      </c>
      <c r="N15" s="148">
        <v>14</v>
      </c>
      <c r="P15" s="156" t="s">
        <v>128</v>
      </c>
      <c r="Q15" s="158" t="s">
        <v>129</v>
      </c>
      <c r="R15" s="156" t="s">
        <v>382</v>
      </c>
      <c r="S15" s="156" t="s">
        <v>414</v>
      </c>
      <c r="T15" s="156" t="s">
        <v>113</v>
      </c>
      <c r="U15" s="157" t="s">
        <v>114</v>
      </c>
      <c r="V15" s="156" t="s">
        <v>111</v>
      </c>
      <c r="W15" s="156" t="s">
        <v>115</v>
      </c>
    </row>
    <row r="16" spans="1:23" s="147" customFormat="1" ht="17.25" customHeight="1">
      <c r="A16" s="152" t="s">
        <v>153</v>
      </c>
      <c r="B16" s="145" t="s">
        <v>154</v>
      </c>
      <c r="C16" s="145" t="str">
        <f t="shared" si="0"/>
        <v>Penata Tingkat I / III/d</v>
      </c>
      <c r="D16" s="149" t="s">
        <v>123</v>
      </c>
      <c r="E16" s="152" t="s">
        <v>155</v>
      </c>
      <c r="F16" s="154" t="s">
        <v>215</v>
      </c>
      <c r="G16" s="144" t="str">
        <f t="shared" si="7"/>
        <v>197605172009121003</v>
      </c>
      <c r="H16" s="144" t="str">
        <f t="shared" si="1"/>
        <v>Penata / III/c</v>
      </c>
      <c r="I16" s="150" t="str">
        <f t="shared" si="2"/>
        <v>Ketua Jurusan Teknik Permesinan Kapal</v>
      </c>
      <c r="J16" s="153" t="str">
        <f t="shared" si="3"/>
        <v>Dr. Eng. Muh. Anis Mustaghfirin, ST., MT.</v>
      </c>
      <c r="K16" s="145" t="str">
        <f t="shared" si="4"/>
        <v>197208051997021001</v>
      </c>
      <c r="L16" s="145" t="str">
        <f t="shared" si="5"/>
        <v>Penata Tingkat I / III/d</v>
      </c>
      <c r="M16" s="145" t="str">
        <f t="shared" si="6"/>
        <v>Wakil Direktur I</v>
      </c>
      <c r="N16" s="148">
        <v>15</v>
      </c>
      <c r="P16" s="156" t="s">
        <v>265</v>
      </c>
      <c r="Q16" s="157" t="s">
        <v>266</v>
      </c>
      <c r="R16" s="156" t="s">
        <v>106</v>
      </c>
      <c r="S16" s="156" t="s">
        <v>375</v>
      </c>
      <c r="T16" s="156" t="s">
        <v>424</v>
      </c>
      <c r="U16" s="157" t="s">
        <v>195</v>
      </c>
      <c r="V16" s="156" t="s">
        <v>111</v>
      </c>
      <c r="W16" s="156" t="s">
        <v>139</v>
      </c>
    </row>
    <row r="17" spans="1:23" s="147" customFormat="1" ht="17.25" customHeight="1">
      <c r="A17" s="152" t="s">
        <v>463</v>
      </c>
      <c r="B17" s="145" t="s">
        <v>494</v>
      </c>
      <c r="C17" s="145" t="str">
        <f t="shared" si="0"/>
        <v>Penata Muda Tingkat I / III/b</v>
      </c>
      <c r="D17" s="149" t="s">
        <v>118</v>
      </c>
      <c r="E17" s="152" t="s">
        <v>136</v>
      </c>
      <c r="F17" s="154" t="s">
        <v>398</v>
      </c>
      <c r="G17" s="144" t="str">
        <f t="shared" si="7"/>
        <v>196907131995011001</v>
      </c>
      <c r="H17" s="144" t="str">
        <f t="shared" si="1"/>
        <v>Penata Tingkat I / III/d</v>
      </c>
      <c r="I17" s="150" t="str">
        <f t="shared" si="2"/>
        <v>Ketua Jurusan Teknik Kelistrikan Kapal</v>
      </c>
      <c r="J17" s="153" t="str">
        <f t="shared" si="3"/>
        <v>Dr. Eng. Muh. Anis Mustaghfirin, ST., MT.</v>
      </c>
      <c r="K17" s="145" t="str">
        <f t="shared" si="4"/>
        <v>197208051997021001</v>
      </c>
      <c r="L17" s="145" t="str">
        <f t="shared" si="5"/>
        <v>Penata Tingkat I / III/d</v>
      </c>
      <c r="M17" s="145" t="str">
        <f t="shared" si="6"/>
        <v>Wakil Direktur I</v>
      </c>
      <c r="N17" s="148">
        <v>16</v>
      </c>
      <c r="P17" s="156" t="s">
        <v>323</v>
      </c>
      <c r="Q17" s="157" t="s">
        <v>324</v>
      </c>
      <c r="R17" s="156" t="s">
        <v>111</v>
      </c>
      <c r="S17" s="156" t="s">
        <v>374</v>
      </c>
      <c r="T17" s="156" t="s">
        <v>113</v>
      </c>
      <c r="U17" s="157" t="s">
        <v>114</v>
      </c>
      <c r="V17" s="156" t="s">
        <v>111</v>
      </c>
      <c r="W17" s="156" t="s">
        <v>115</v>
      </c>
    </row>
    <row r="18" spans="1:23" s="147" customFormat="1" ht="17.25" customHeight="1">
      <c r="A18" s="152" t="s">
        <v>156</v>
      </c>
      <c r="B18" s="145" t="s">
        <v>157</v>
      </c>
      <c r="C18" s="145" t="str">
        <f t="shared" si="0"/>
        <v>Penata Tingkat I / III/d</v>
      </c>
      <c r="D18" s="149" t="s">
        <v>123</v>
      </c>
      <c r="E18" s="152" t="s">
        <v>155</v>
      </c>
      <c r="F18" s="154" t="s">
        <v>398</v>
      </c>
      <c r="G18" s="144" t="str">
        <f t="shared" si="7"/>
        <v>196907131995011001</v>
      </c>
      <c r="H18" s="144" t="str">
        <f t="shared" si="1"/>
        <v>Penata Tingkat I / III/d</v>
      </c>
      <c r="I18" s="150" t="str">
        <f t="shared" si="2"/>
        <v>Ketua Jurusan Teknik Kelistrikan Kapal</v>
      </c>
      <c r="J18" s="153" t="str">
        <f t="shared" si="3"/>
        <v>Dr. Eng. Muh. Anis Mustaghfirin, ST., MT.</v>
      </c>
      <c r="K18" s="145" t="str">
        <f t="shared" si="4"/>
        <v>197208051997021001</v>
      </c>
      <c r="L18" s="145" t="str">
        <f t="shared" si="5"/>
        <v>Penata Tingkat I / III/d</v>
      </c>
      <c r="M18" s="145" t="str">
        <f t="shared" si="6"/>
        <v>Wakil Direktur I</v>
      </c>
      <c r="N18" s="148">
        <v>17</v>
      </c>
      <c r="P18" s="156" t="s">
        <v>277</v>
      </c>
      <c r="Q18" s="157" t="s">
        <v>278</v>
      </c>
      <c r="R18" s="156" t="s">
        <v>111</v>
      </c>
      <c r="S18" s="156" t="s">
        <v>370</v>
      </c>
      <c r="T18" s="156" t="s">
        <v>424</v>
      </c>
      <c r="U18" s="157" t="s">
        <v>195</v>
      </c>
      <c r="V18" s="156" t="s">
        <v>111</v>
      </c>
      <c r="W18" s="156" t="s">
        <v>139</v>
      </c>
    </row>
    <row r="19" spans="1:23" s="147" customFormat="1" ht="17.25" customHeight="1">
      <c r="A19" s="152" t="s">
        <v>158</v>
      </c>
      <c r="B19" s="145" t="s">
        <v>159</v>
      </c>
      <c r="C19" s="145" t="str">
        <f t="shared" si="0"/>
        <v>Penata Tingkat I / III/d</v>
      </c>
      <c r="D19" s="149" t="s">
        <v>123</v>
      </c>
      <c r="E19" s="152" t="s">
        <v>155</v>
      </c>
      <c r="F19" s="154" t="s">
        <v>215</v>
      </c>
      <c r="G19" s="144" t="str">
        <f t="shared" si="7"/>
        <v>197605172009121003</v>
      </c>
      <c r="H19" s="144" t="str">
        <f t="shared" si="1"/>
        <v>Penata / III/c</v>
      </c>
      <c r="I19" s="150" t="str">
        <f t="shared" si="2"/>
        <v>Ketua Jurusan Teknik Permesinan Kapal</v>
      </c>
      <c r="J19" s="153" t="str">
        <f t="shared" si="3"/>
        <v>Dr. Eng. Muh. Anis Mustaghfirin, ST., MT.</v>
      </c>
      <c r="K19" s="145" t="str">
        <f t="shared" si="4"/>
        <v>197208051997021001</v>
      </c>
      <c r="L19" s="145" t="str">
        <f t="shared" si="5"/>
        <v>Penata Tingkat I / III/d</v>
      </c>
      <c r="M19" s="145" t="str">
        <f t="shared" si="6"/>
        <v>Wakil Direktur I</v>
      </c>
      <c r="N19" s="148">
        <v>18</v>
      </c>
      <c r="P19" s="156" t="s">
        <v>167</v>
      </c>
      <c r="Q19" s="157" t="s">
        <v>168</v>
      </c>
      <c r="R19" s="156" t="s">
        <v>106</v>
      </c>
      <c r="S19" s="156" t="s">
        <v>415</v>
      </c>
      <c r="T19" s="156" t="s">
        <v>424</v>
      </c>
      <c r="U19" s="157" t="s">
        <v>195</v>
      </c>
      <c r="V19" s="156" t="s">
        <v>111</v>
      </c>
      <c r="W19" s="156" t="s">
        <v>139</v>
      </c>
    </row>
    <row r="20" spans="1:23" s="147" customFormat="1" ht="17.25" customHeight="1">
      <c r="A20" s="152" t="s">
        <v>457</v>
      </c>
      <c r="B20" s="145" t="s">
        <v>488</v>
      </c>
      <c r="C20" s="145" t="str">
        <f t="shared" si="0"/>
        <v>Penata Muda Tingkat I / III/b</v>
      </c>
      <c r="D20" s="149" t="s">
        <v>118</v>
      </c>
      <c r="E20" s="152" t="s">
        <v>136</v>
      </c>
      <c r="F20" s="154" t="s">
        <v>215</v>
      </c>
      <c r="G20" s="144" t="str">
        <f t="shared" si="7"/>
        <v>197605172009121003</v>
      </c>
      <c r="H20" s="144" t="str">
        <f t="shared" si="1"/>
        <v>Penata / III/c</v>
      </c>
      <c r="I20" s="150" t="str">
        <f t="shared" si="2"/>
        <v>Ketua Jurusan Teknik Permesinan Kapal</v>
      </c>
      <c r="J20" s="153" t="str">
        <f t="shared" si="3"/>
        <v>Dr. Eng. Muh. Anis Mustaghfirin, ST., MT.</v>
      </c>
      <c r="K20" s="145" t="str">
        <f t="shared" si="4"/>
        <v>197208051997021001</v>
      </c>
      <c r="L20" s="145" t="str">
        <f t="shared" si="5"/>
        <v>Penata Tingkat I / III/d</v>
      </c>
      <c r="M20" s="145" t="str">
        <f t="shared" si="6"/>
        <v>Wakil Direktur I</v>
      </c>
      <c r="N20" s="148">
        <v>19</v>
      </c>
      <c r="P20" s="160"/>
      <c r="Q20" s="161"/>
      <c r="R20" s="160"/>
      <c r="S20" s="160"/>
      <c r="T20" s="160"/>
      <c r="U20" s="161"/>
      <c r="V20" s="160"/>
      <c r="W20" s="160"/>
    </row>
    <row r="21" spans="1:23" s="147" customFormat="1" ht="17.25" customHeight="1">
      <c r="A21" s="152" t="s">
        <v>452</v>
      </c>
      <c r="B21" s="145" t="s">
        <v>483</v>
      </c>
      <c r="C21" s="145" t="str">
        <f t="shared" si="0"/>
        <v>Penata Muda Tingkat I / III/b</v>
      </c>
      <c r="D21" s="149" t="s">
        <v>118</v>
      </c>
      <c r="E21" s="152" t="s">
        <v>136</v>
      </c>
      <c r="F21" s="154" t="s">
        <v>215</v>
      </c>
      <c r="G21" s="144" t="str">
        <f>VLOOKUP(F21,$P$2:$W$28,2,FALSE)</f>
        <v>197605172009121003</v>
      </c>
      <c r="H21" s="144" t="str">
        <f t="shared" si="1"/>
        <v>Penata / III/c</v>
      </c>
      <c r="I21" s="150" t="str">
        <f t="shared" si="2"/>
        <v>Ketua Jurusan Teknik Permesinan Kapal</v>
      </c>
      <c r="J21" s="153" t="str">
        <f t="shared" si="3"/>
        <v>Dr. Eng. Muh. Anis Mustaghfirin, ST., MT.</v>
      </c>
      <c r="K21" s="145" t="str">
        <f t="shared" si="4"/>
        <v>197208051997021001</v>
      </c>
      <c r="L21" s="145" t="str">
        <f t="shared" si="5"/>
        <v>Penata Tingkat I / III/d</v>
      </c>
      <c r="M21" s="145" t="str">
        <f t="shared" si="6"/>
        <v>Wakil Direktur I</v>
      </c>
      <c r="N21" s="148">
        <v>20</v>
      </c>
    </row>
    <row r="22" spans="1:23" s="147" customFormat="1" ht="17.25" customHeight="1">
      <c r="A22" s="152" t="s">
        <v>160</v>
      </c>
      <c r="B22" s="145" t="s">
        <v>161</v>
      </c>
      <c r="C22" s="145" t="str">
        <f t="shared" si="0"/>
        <v>Penata Muda Tingkat I / III/b</v>
      </c>
      <c r="D22" s="149" t="s">
        <v>118</v>
      </c>
      <c r="E22" s="152" t="s">
        <v>142</v>
      </c>
      <c r="F22" s="154" t="s">
        <v>410</v>
      </c>
      <c r="G22" s="144" t="str">
        <f t="shared" si="7"/>
        <v>196910151995011001</v>
      </c>
      <c r="H22" s="144" t="str">
        <f t="shared" si="1"/>
        <v>Penata Tingkat I / III/d</v>
      </c>
      <c r="I22" s="150" t="str">
        <f t="shared" si="2"/>
        <v>Ketua Jurusan Teknik Bangunan Kapal</v>
      </c>
      <c r="J22" s="153" t="str">
        <f t="shared" si="3"/>
        <v>Dr. Eng. Muh. Anis Mustaghfirin, ST., MT.</v>
      </c>
      <c r="K22" s="145" t="str">
        <f t="shared" si="4"/>
        <v>197208051997021001</v>
      </c>
      <c r="L22" s="145" t="str">
        <f t="shared" si="5"/>
        <v>Penata Tingkat I / III/d</v>
      </c>
      <c r="M22" s="145" t="str">
        <f t="shared" si="6"/>
        <v>Wakil Direktur I</v>
      </c>
      <c r="N22" s="148">
        <v>21</v>
      </c>
    </row>
    <row r="23" spans="1:23" s="147" customFormat="1" ht="17.25" customHeight="1">
      <c r="A23" s="152" t="s">
        <v>162</v>
      </c>
      <c r="B23" s="145" t="s">
        <v>163</v>
      </c>
      <c r="C23" s="145" t="str">
        <f t="shared" si="0"/>
        <v>Pembina / IV/a</v>
      </c>
      <c r="D23" s="149" t="s">
        <v>130</v>
      </c>
      <c r="E23" s="152" t="s">
        <v>164</v>
      </c>
      <c r="F23" s="154" t="s">
        <v>215</v>
      </c>
      <c r="G23" s="144" t="str">
        <f t="shared" si="7"/>
        <v>197605172009121003</v>
      </c>
      <c r="H23" s="144" t="str">
        <f t="shared" si="1"/>
        <v>Penata / III/c</v>
      </c>
      <c r="I23" s="150" t="str">
        <f t="shared" si="2"/>
        <v>Ketua Jurusan Teknik Permesinan Kapal</v>
      </c>
      <c r="J23" s="153" t="str">
        <f t="shared" si="3"/>
        <v>Dr. Eng. Muh. Anis Mustaghfirin, ST., MT.</v>
      </c>
      <c r="K23" s="145" t="str">
        <f t="shared" si="4"/>
        <v>197208051997021001</v>
      </c>
      <c r="L23" s="145" t="str">
        <f t="shared" si="5"/>
        <v>Penata Tingkat I / III/d</v>
      </c>
      <c r="M23" s="145" t="str">
        <f t="shared" si="6"/>
        <v>Wakil Direktur I</v>
      </c>
      <c r="N23" s="148">
        <v>22</v>
      </c>
    </row>
    <row r="24" spans="1:23" s="147" customFormat="1" ht="17.25" customHeight="1">
      <c r="A24" s="152" t="s">
        <v>165</v>
      </c>
      <c r="B24" s="145" t="s">
        <v>166</v>
      </c>
      <c r="C24" s="145" t="str">
        <f t="shared" si="0"/>
        <v>Penata Muda Tingkat I / III/b</v>
      </c>
      <c r="D24" s="149" t="s">
        <v>118</v>
      </c>
      <c r="E24" s="152" t="s">
        <v>142</v>
      </c>
      <c r="F24" s="154" t="s">
        <v>215</v>
      </c>
      <c r="G24" s="144" t="str">
        <f t="shared" si="7"/>
        <v>197605172009121003</v>
      </c>
      <c r="H24" s="144" t="str">
        <f t="shared" si="1"/>
        <v>Penata / III/c</v>
      </c>
      <c r="I24" s="150" t="str">
        <f t="shared" si="2"/>
        <v>Ketua Jurusan Teknik Permesinan Kapal</v>
      </c>
      <c r="J24" s="153" t="str">
        <f t="shared" si="3"/>
        <v>Dr. Eng. Muh. Anis Mustaghfirin, ST., MT.</v>
      </c>
      <c r="K24" s="145" t="str">
        <f t="shared" si="4"/>
        <v>197208051997021001</v>
      </c>
      <c r="L24" s="145" t="str">
        <f t="shared" si="5"/>
        <v>Penata Tingkat I / III/d</v>
      </c>
      <c r="M24" s="145" t="str">
        <f t="shared" si="6"/>
        <v>Wakil Direktur I</v>
      </c>
      <c r="N24" s="148">
        <v>23</v>
      </c>
    </row>
    <row r="25" spans="1:23" s="147" customFormat="1" ht="17.25" customHeight="1">
      <c r="A25" s="152" t="s">
        <v>437</v>
      </c>
      <c r="B25" s="145" t="s">
        <v>468</v>
      </c>
      <c r="C25" s="145" t="str">
        <f t="shared" si="0"/>
        <v>Penata Muda Tingkat I / III/b</v>
      </c>
      <c r="D25" s="149" t="s">
        <v>118</v>
      </c>
      <c r="E25" s="152" t="s">
        <v>136</v>
      </c>
      <c r="F25" s="154" t="s">
        <v>215</v>
      </c>
      <c r="G25" s="144" t="str">
        <f t="shared" si="7"/>
        <v>197605172009121003</v>
      </c>
      <c r="H25" s="144" t="str">
        <f t="shared" si="1"/>
        <v>Penata / III/c</v>
      </c>
      <c r="I25" s="150" t="str">
        <f t="shared" si="2"/>
        <v>Ketua Jurusan Teknik Permesinan Kapal</v>
      </c>
      <c r="J25" s="153" t="str">
        <f t="shared" si="3"/>
        <v>Dr. Eng. Muh. Anis Mustaghfirin, ST., MT.</v>
      </c>
      <c r="K25" s="145" t="str">
        <f t="shared" si="4"/>
        <v>197208051997021001</v>
      </c>
      <c r="L25" s="145" t="str">
        <f t="shared" si="5"/>
        <v>Penata Tingkat I / III/d</v>
      </c>
      <c r="M25" s="145" t="str">
        <f t="shared" si="6"/>
        <v>Wakil Direktur I</v>
      </c>
      <c r="N25" s="148">
        <v>24</v>
      </c>
    </row>
    <row r="26" spans="1:23" s="147" customFormat="1" ht="17.25" customHeight="1">
      <c r="A26" s="152" t="s">
        <v>167</v>
      </c>
      <c r="B26" s="145" t="s">
        <v>168</v>
      </c>
      <c r="C26" s="145" t="str">
        <f t="shared" si="0"/>
        <v>Penata Tingkat I / III/d</v>
      </c>
      <c r="D26" s="149" t="s">
        <v>123</v>
      </c>
      <c r="E26" s="152" t="s">
        <v>155</v>
      </c>
      <c r="F26" s="154" t="s">
        <v>215</v>
      </c>
      <c r="G26" s="144" t="str">
        <f t="shared" si="7"/>
        <v>197605172009121003</v>
      </c>
      <c r="H26" s="144" t="str">
        <f t="shared" si="1"/>
        <v>Penata / III/c</v>
      </c>
      <c r="I26" s="150" t="str">
        <f t="shared" si="2"/>
        <v>Ketua Jurusan Teknik Permesinan Kapal</v>
      </c>
      <c r="J26" s="153" t="str">
        <f t="shared" si="3"/>
        <v>Dr. Eng. Muh. Anis Mustaghfirin, ST., MT.</v>
      </c>
      <c r="K26" s="145" t="str">
        <f t="shared" si="4"/>
        <v>197208051997021001</v>
      </c>
      <c r="L26" s="145" t="str">
        <f t="shared" si="5"/>
        <v>Penata Tingkat I / III/d</v>
      </c>
      <c r="M26" s="145" t="str">
        <f t="shared" si="6"/>
        <v>Wakil Direktur I</v>
      </c>
      <c r="N26" s="148">
        <v>25</v>
      </c>
    </row>
    <row r="27" spans="1:23" s="147" customFormat="1" ht="17.25" customHeight="1">
      <c r="A27" s="152" t="s">
        <v>169</v>
      </c>
      <c r="B27" s="145" t="s">
        <v>170</v>
      </c>
      <c r="C27" s="145" t="str">
        <f t="shared" si="0"/>
        <v>Pembina / IV/a</v>
      </c>
      <c r="D27" s="149" t="s">
        <v>130</v>
      </c>
      <c r="E27" s="152" t="s">
        <v>164</v>
      </c>
      <c r="F27" s="154" t="s">
        <v>215</v>
      </c>
      <c r="G27" s="144" t="str">
        <f t="shared" si="7"/>
        <v>197605172009121003</v>
      </c>
      <c r="H27" s="144" t="str">
        <f t="shared" si="1"/>
        <v>Penata / III/c</v>
      </c>
      <c r="I27" s="150" t="str">
        <f t="shared" si="2"/>
        <v>Ketua Jurusan Teknik Permesinan Kapal</v>
      </c>
      <c r="J27" s="153" t="str">
        <f t="shared" si="3"/>
        <v>Dr. Eng. Muh. Anis Mustaghfirin, ST., MT.</v>
      </c>
      <c r="K27" s="145" t="str">
        <f t="shared" si="4"/>
        <v>197208051997021001</v>
      </c>
      <c r="L27" s="145" t="str">
        <f t="shared" si="5"/>
        <v>Penata Tingkat I / III/d</v>
      </c>
      <c r="M27" s="145" t="str">
        <f t="shared" si="6"/>
        <v>Wakil Direktur I</v>
      </c>
      <c r="N27" s="148">
        <v>26</v>
      </c>
    </row>
    <row r="28" spans="1:23" s="147" customFormat="1" ht="17.25" customHeight="1">
      <c r="A28" s="152" t="s">
        <v>171</v>
      </c>
      <c r="B28" s="145" t="s">
        <v>172</v>
      </c>
      <c r="C28" s="145" t="str">
        <f t="shared" si="0"/>
        <v>Penata / III/c</v>
      </c>
      <c r="D28" s="149" t="s">
        <v>117</v>
      </c>
      <c r="E28" s="152" t="s">
        <v>155</v>
      </c>
      <c r="F28" s="154" t="s">
        <v>410</v>
      </c>
      <c r="G28" s="144" t="str">
        <f t="shared" si="7"/>
        <v>196910151995011001</v>
      </c>
      <c r="H28" s="144" t="str">
        <f t="shared" si="1"/>
        <v>Penata Tingkat I / III/d</v>
      </c>
      <c r="I28" s="150" t="str">
        <f t="shared" si="2"/>
        <v>Ketua Jurusan Teknik Bangunan Kapal</v>
      </c>
      <c r="J28" s="153" t="str">
        <f t="shared" si="3"/>
        <v>Dr. Eng. Muh. Anis Mustaghfirin, ST., MT.</v>
      </c>
      <c r="K28" s="145" t="str">
        <f t="shared" si="4"/>
        <v>197208051997021001</v>
      </c>
      <c r="L28" s="145" t="str">
        <f t="shared" si="5"/>
        <v>Penata Tingkat I / III/d</v>
      </c>
      <c r="M28" s="145" t="str">
        <f t="shared" si="6"/>
        <v>Wakil Direktur I</v>
      </c>
      <c r="N28" s="148">
        <v>27</v>
      </c>
    </row>
    <row r="29" spans="1:23" s="147" customFormat="1" ht="17.25" customHeight="1">
      <c r="A29" s="152" t="s">
        <v>519</v>
      </c>
      <c r="B29" s="145" t="s">
        <v>173</v>
      </c>
      <c r="C29" s="145" t="str">
        <f t="shared" si="0"/>
        <v>Penata Muda Tingkat I / III/b</v>
      </c>
      <c r="D29" s="149" t="s">
        <v>118</v>
      </c>
      <c r="E29" s="152" t="s">
        <v>142</v>
      </c>
      <c r="F29" s="154" t="s">
        <v>215</v>
      </c>
      <c r="G29" s="144" t="str">
        <f t="shared" si="7"/>
        <v>197605172009121003</v>
      </c>
      <c r="H29" s="144" t="str">
        <f t="shared" si="1"/>
        <v>Penata / III/c</v>
      </c>
      <c r="I29" s="150" t="str">
        <f t="shared" si="2"/>
        <v>Ketua Jurusan Teknik Permesinan Kapal</v>
      </c>
      <c r="J29" s="153" t="str">
        <f t="shared" si="3"/>
        <v>Dr. Eng. Muh. Anis Mustaghfirin, ST., MT.</v>
      </c>
      <c r="K29" s="145" t="str">
        <f t="shared" si="4"/>
        <v>197208051997021001</v>
      </c>
      <c r="L29" s="145" t="str">
        <f t="shared" si="5"/>
        <v>Penata Tingkat I / III/d</v>
      </c>
      <c r="M29" s="145" t="str">
        <f t="shared" si="6"/>
        <v>Wakil Direktur I</v>
      </c>
      <c r="N29" s="148">
        <v>28</v>
      </c>
    </row>
    <row r="30" spans="1:23" s="147" customFormat="1" ht="17.25" customHeight="1">
      <c r="A30" s="152" t="s">
        <v>174</v>
      </c>
      <c r="B30" s="145" t="s">
        <v>175</v>
      </c>
      <c r="C30" s="145" t="str">
        <f t="shared" si="0"/>
        <v>Penata / III/c</v>
      </c>
      <c r="D30" s="149" t="s">
        <v>117</v>
      </c>
      <c r="E30" s="152" t="s">
        <v>155</v>
      </c>
      <c r="F30" s="154" t="s">
        <v>398</v>
      </c>
      <c r="G30" s="144" t="str">
        <f t="shared" si="7"/>
        <v>196907131995011001</v>
      </c>
      <c r="H30" s="144" t="str">
        <f t="shared" si="1"/>
        <v>Penata Tingkat I / III/d</v>
      </c>
      <c r="I30" s="150" t="str">
        <f t="shared" si="2"/>
        <v>Ketua Jurusan Teknik Kelistrikan Kapal</v>
      </c>
      <c r="J30" s="153" t="str">
        <f t="shared" si="3"/>
        <v>Dr. Eng. Muh. Anis Mustaghfirin, ST., MT.</v>
      </c>
      <c r="K30" s="145" t="str">
        <f t="shared" si="4"/>
        <v>197208051997021001</v>
      </c>
      <c r="L30" s="145" t="str">
        <f t="shared" si="5"/>
        <v>Penata Tingkat I / III/d</v>
      </c>
      <c r="M30" s="145" t="str">
        <f t="shared" si="6"/>
        <v>Wakil Direktur I</v>
      </c>
      <c r="N30" s="148">
        <v>29</v>
      </c>
    </row>
    <row r="31" spans="1:23" s="147" customFormat="1" ht="17.25" customHeight="1">
      <c r="A31" s="152" t="s">
        <v>442</v>
      </c>
      <c r="B31" s="145" t="s">
        <v>473</v>
      </c>
      <c r="C31" s="145" t="str">
        <f t="shared" si="0"/>
        <v>Penata Muda Tingkat I / III/b</v>
      </c>
      <c r="D31" s="149" t="s">
        <v>118</v>
      </c>
      <c r="E31" s="152" t="s">
        <v>136</v>
      </c>
      <c r="F31" s="154" t="s">
        <v>410</v>
      </c>
      <c r="G31" s="144" t="str">
        <f t="shared" si="7"/>
        <v>196910151995011001</v>
      </c>
      <c r="H31" s="144" t="str">
        <f t="shared" si="1"/>
        <v>Penata Tingkat I / III/d</v>
      </c>
      <c r="I31" s="150" t="str">
        <f t="shared" si="2"/>
        <v>Ketua Jurusan Teknik Bangunan Kapal</v>
      </c>
      <c r="J31" s="153" t="str">
        <f t="shared" si="3"/>
        <v>Dr. Eng. Muh. Anis Mustaghfirin, ST., MT.</v>
      </c>
      <c r="K31" s="145" t="str">
        <f t="shared" si="4"/>
        <v>197208051997021001</v>
      </c>
      <c r="L31" s="145" t="str">
        <f t="shared" si="5"/>
        <v>Penata Tingkat I / III/d</v>
      </c>
      <c r="M31" s="145" t="str">
        <f t="shared" si="6"/>
        <v>Wakil Direktur I</v>
      </c>
      <c r="N31" s="148">
        <v>30</v>
      </c>
    </row>
    <row r="32" spans="1:23" s="147" customFormat="1" ht="17.25" customHeight="1">
      <c r="A32" s="152" t="s">
        <v>176</v>
      </c>
      <c r="B32" s="145" t="s">
        <v>177</v>
      </c>
      <c r="C32" s="145" t="str">
        <f t="shared" si="0"/>
        <v>Penata / III/c</v>
      </c>
      <c r="D32" s="149" t="s">
        <v>117</v>
      </c>
      <c r="E32" s="152" t="s">
        <v>155</v>
      </c>
      <c r="F32" s="154" t="s">
        <v>215</v>
      </c>
      <c r="G32" s="144" t="str">
        <f>VLOOKUP(F32,$P$2:$W$28,2,FALSE)</f>
        <v>197605172009121003</v>
      </c>
      <c r="H32" s="144" t="str">
        <f t="shared" si="1"/>
        <v>Penata / III/c</v>
      </c>
      <c r="I32" s="150" t="str">
        <f t="shared" si="2"/>
        <v>Ketua Jurusan Teknik Permesinan Kapal</v>
      </c>
      <c r="J32" s="153" t="str">
        <f t="shared" si="3"/>
        <v>Dr. Eng. Muh. Anis Mustaghfirin, ST., MT.</v>
      </c>
      <c r="K32" s="145" t="str">
        <f t="shared" si="4"/>
        <v>197208051997021001</v>
      </c>
      <c r="L32" s="145" t="str">
        <f t="shared" si="5"/>
        <v>Penata Tingkat I / III/d</v>
      </c>
      <c r="M32" s="145" t="str">
        <f t="shared" si="6"/>
        <v>Wakil Direktur I</v>
      </c>
      <c r="N32" s="148">
        <v>31</v>
      </c>
    </row>
    <row r="33" spans="1:14" s="147" customFormat="1" ht="17.25" customHeight="1">
      <c r="A33" s="152" t="s">
        <v>178</v>
      </c>
      <c r="B33" s="145" t="s">
        <v>179</v>
      </c>
      <c r="C33" s="145" t="str">
        <f t="shared" si="0"/>
        <v>Penata Muda Tingkat I / III/b</v>
      </c>
      <c r="D33" s="149" t="s">
        <v>118</v>
      </c>
      <c r="E33" s="152" t="s">
        <v>142</v>
      </c>
      <c r="F33" s="154" t="s">
        <v>410</v>
      </c>
      <c r="G33" s="144" t="str">
        <f t="shared" si="7"/>
        <v>196910151995011001</v>
      </c>
      <c r="H33" s="144" t="str">
        <f t="shared" si="1"/>
        <v>Penata Tingkat I / III/d</v>
      </c>
      <c r="I33" s="150" t="str">
        <f t="shared" si="2"/>
        <v>Ketua Jurusan Teknik Bangunan Kapal</v>
      </c>
      <c r="J33" s="153" t="str">
        <f t="shared" si="3"/>
        <v>Dr. Eng. Muh. Anis Mustaghfirin, ST., MT.</v>
      </c>
      <c r="K33" s="145" t="str">
        <f t="shared" si="4"/>
        <v>197208051997021001</v>
      </c>
      <c r="L33" s="145" t="str">
        <f t="shared" si="5"/>
        <v>Penata Tingkat I / III/d</v>
      </c>
      <c r="M33" s="145" t="str">
        <f t="shared" si="6"/>
        <v>Wakil Direktur I</v>
      </c>
      <c r="N33" s="148">
        <v>32</v>
      </c>
    </row>
    <row r="34" spans="1:14" s="147" customFormat="1" ht="17.25" customHeight="1">
      <c r="A34" s="152" t="s">
        <v>181</v>
      </c>
      <c r="B34" s="145" t="s">
        <v>182</v>
      </c>
      <c r="C34" s="145" t="str">
        <f t="shared" ref="C34:C65" si="8">IF(D34="II/a","Pengatur Muda / II/a",IF(D34="II/b","Pengatur Muda Tingkat I  / II/b",IF(D34="II/c","Pengatur / II/c",IF(D34="II/d","Pengatur Tingkat I / II/d",IF(D34="III/a","Penata Muda / III/a",IF(D34="III/b","Penata Muda Tingkat I / III/b",IF(D34="III/c","Penata / III/c",IF(D34="III/d","Penata Tingkat I / III/d",IF(D34="IV/a","Pembina / IV/a",IF(D34="IV/b","Pembina Tingkat I / IV/b",IF(D34="IV/c","Pembina Utama Muda / IV/c",IF(D34="IV/d","Pembina Utama Madya / IV/d"))))))))))))</f>
        <v>Penata / III/c</v>
      </c>
      <c r="D34" s="149" t="s">
        <v>117</v>
      </c>
      <c r="E34" s="152" t="s">
        <v>155</v>
      </c>
      <c r="F34" s="154" t="s">
        <v>410</v>
      </c>
      <c r="G34" s="144" t="str">
        <f t="shared" ref="G34:G64" si="9">VLOOKUP(F34,$P$2:$W$28,2,FALSE)</f>
        <v>196910151995011001</v>
      </c>
      <c r="H34" s="144" t="str">
        <f t="shared" ref="H34:H64" si="10">VLOOKUP(F34,$P$2:$W$28,3,FALSE)</f>
        <v>Penata Tingkat I / III/d</v>
      </c>
      <c r="I34" s="150" t="str">
        <f t="shared" ref="I34:I64" si="11">VLOOKUP(F34,$P$2:$W$28,4,FALSE)</f>
        <v>Ketua Jurusan Teknik Bangunan Kapal</v>
      </c>
      <c r="J34" s="153" t="str">
        <f t="shared" ref="J34:J64" si="12">VLOOKUP(F34,$P$2:$W$28,5,FALSE)</f>
        <v>Dr. Eng. Muh. Anis Mustaghfirin, ST., MT.</v>
      </c>
      <c r="K34" s="145" t="str">
        <f t="shared" ref="K34:K64" si="13">VLOOKUP(F34,$P$2:$W$28,6,FALSE)</f>
        <v>197208051997021001</v>
      </c>
      <c r="L34" s="145" t="str">
        <f t="shared" ref="L34:L64" si="14">VLOOKUP(F34,$P$2:$W$28,7,FALSE)</f>
        <v>Penata Tingkat I / III/d</v>
      </c>
      <c r="M34" s="145" t="str">
        <f t="shared" ref="M34:M64" si="15">VLOOKUP(F34,$P$2:$W$28,8,FALSE)</f>
        <v>Wakil Direktur I</v>
      </c>
      <c r="N34" s="148">
        <v>33</v>
      </c>
    </row>
    <row r="35" spans="1:14" s="147" customFormat="1" ht="17.25" customHeight="1">
      <c r="A35" s="152" t="s">
        <v>441</v>
      </c>
      <c r="B35" s="145" t="s">
        <v>472</v>
      </c>
      <c r="C35" s="145" t="str">
        <f t="shared" si="8"/>
        <v>Penata Muda Tingkat I / III/b</v>
      </c>
      <c r="D35" s="149" t="s">
        <v>118</v>
      </c>
      <c r="E35" s="152" t="s">
        <v>136</v>
      </c>
      <c r="F35" s="154" t="s">
        <v>215</v>
      </c>
      <c r="G35" s="144" t="str">
        <f t="shared" si="9"/>
        <v>197605172009121003</v>
      </c>
      <c r="H35" s="144" t="str">
        <f t="shared" si="10"/>
        <v>Penata / III/c</v>
      </c>
      <c r="I35" s="150" t="str">
        <f t="shared" si="11"/>
        <v>Ketua Jurusan Teknik Permesinan Kapal</v>
      </c>
      <c r="J35" s="153" t="str">
        <f t="shared" si="12"/>
        <v>Dr. Eng. Muh. Anis Mustaghfirin, ST., MT.</v>
      </c>
      <c r="K35" s="145" t="str">
        <f t="shared" si="13"/>
        <v>197208051997021001</v>
      </c>
      <c r="L35" s="145" t="str">
        <f t="shared" si="14"/>
        <v>Penata Tingkat I / III/d</v>
      </c>
      <c r="M35" s="145" t="str">
        <f t="shared" si="15"/>
        <v>Wakil Direktur I</v>
      </c>
      <c r="N35" s="148">
        <v>34</v>
      </c>
    </row>
    <row r="36" spans="1:14" s="147" customFormat="1" ht="17.25" customHeight="1">
      <c r="A36" s="152" t="s">
        <v>184</v>
      </c>
      <c r="B36" s="145" t="s">
        <v>185</v>
      </c>
      <c r="C36" s="145" t="str">
        <f t="shared" si="8"/>
        <v>Penata Muda Tingkat I / III/b</v>
      </c>
      <c r="D36" s="149" t="s">
        <v>118</v>
      </c>
      <c r="E36" s="152" t="s">
        <v>142</v>
      </c>
      <c r="F36" s="154" t="s">
        <v>215</v>
      </c>
      <c r="G36" s="144" t="str">
        <f t="shared" si="9"/>
        <v>197605172009121003</v>
      </c>
      <c r="H36" s="144" t="str">
        <f t="shared" si="10"/>
        <v>Penata / III/c</v>
      </c>
      <c r="I36" s="150" t="str">
        <f t="shared" si="11"/>
        <v>Ketua Jurusan Teknik Permesinan Kapal</v>
      </c>
      <c r="J36" s="153" t="str">
        <f t="shared" si="12"/>
        <v>Dr. Eng. Muh. Anis Mustaghfirin, ST., MT.</v>
      </c>
      <c r="K36" s="145" t="str">
        <f t="shared" si="13"/>
        <v>197208051997021001</v>
      </c>
      <c r="L36" s="145" t="str">
        <f t="shared" si="14"/>
        <v>Penata Tingkat I / III/d</v>
      </c>
      <c r="M36" s="145" t="str">
        <f t="shared" si="15"/>
        <v>Wakil Direktur I</v>
      </c>
      <c r="N36" s="148">
        <v>35</v>
      </c>
    </row>
    <row r="37" spans="1:14" s="147" customFormat="1" ht="17.25" customHeight="1">
      <c r="A37" s="208" t="s">
        <v>510</v>
      </c>
      <c r="B37" s="209" t="s">
        <v>513</v>
      </c>
      <c r="C37" s="145" t="str">
        <f t="shared" si="8"/>
        <v>Penata Muda Tingkat I / III/b</v>
      </c>
      <c r="D37" s="209" t="s">
        <v>118</v>
      </c>
      <c r="E37" s="152" t="s">
        <v>136</v>
      </c>
      <c r="F37" s="211" t="s">
        <v>215</v>
      </c>
      <c r="G37" s="144" t="str">
        <f t="shared" si="9"/>
        <v>197605172009121003</v>
      </c>
      <c r="H37" s="144" t="str">
        <f t="shared" si="10"/>
        <v>Penata / III/c</v>
      </c>
      <c r="I37" s="150" t="str">
        <f t="shared" si="11"/>
        <v>Ketua Jurusan Teknik Permesinan Kapal</v>
      </c>
      <c r="J37" s="153" t="str">
        <f t="shared" si="12"/>
        <v>Dr. Eng. Muh. Anis Mustaghfirin, ST., MT.</v>
      </c>
      <c r="K37" s="145" t="str">
        <f t="shared" si="13"/>
        <v>197208051997021001</v>
      </c>
      <c r="L37" s="145" t="str">
        <f t="shared" si="14"/>
        <v>Penata Tingkat I / III/d</v>
      </c>
      <c r="M37" s="145" t="str">
        <f t="shared" si="15"/>
        <v>Wakil Direktur I</v>
      </c>
      <c r="N37" s="148">
        <v>36</v>
      </c>
    </row>
    <row r="38" spans="1:14" s="147" customFormat="1" ht="17.25" customHeight="1">
      <c r="A38" s="152" t="s">
        <v>186</v>
      </c>
      <c r="B38" s="145" t="s">
        <v>187</v>
      </c>
      <c r="C38" s="145" t="str">
        <f t="shared" si="8"/>
        <v>Penata Muda Tingkat I / III/b</v>
      </c>
      <c r="D38" s="149" t="s">
        <v>118</v>
      </c>
      <c r="E38" s="152" t="s">
        <v>142</v>
      </c>
      <c r="F38" s="154" t="s">
        <v>398</v>
      </c>
      <c r="G38" s="144" t="str">
        <f t="shared" si="9"/>
        <v>196907131995011001</v>
      </c>
      <c r="H38" s="144" t="str">
        <f t="shared" si="10"/>
        <v>Penata Tingkat I / III/d</v>
      </c>
      <c r="I38" s="150" t="str">
        <f t="shared" si="11"/>
        <v>Ketua Jurusan Teknik Kelistrikan Kapal</v>
      </c>
      <c r="J38" s="153" t="str">
        <f t="shared" si="12"/>
        <v>Dr. Eng. Muh. Anis Mustaghfirin, ST., MT.</v>
      </c>
      <c r="K38" s="145" t="str">
        <f t="shared" si="13"/>
        <v>197208051997021001</v>
      </c>
      <c r="L38" s="145" t="str">
        <f t="shared" si="14"/>
        <v>Penata Tingkat I / III/d</v>
      </c>
      <c r="M38" s="145" t="str">
        <f t="shared" si="15"/>
        <v>Wakil Direktur I</v>
      </c>
      <c r="N38" s="148">
        <v>37</v>
      </c>
    </row>
    <row r="39" spans="1:14" s="147" customFormat="1" ht="17.25" customHeight="1">
      <c r="A39" s="152" t="s">
        <v>446</v>
      </c>
      <c r="B39" s="145" t="s">
        <v>477</v>
      </c>
      <c r="C39" s="145" t="str">
        <f t="shared" si="8"/>
        <v>Penata Muda Tingkat I / III/b</v>
      </c>
      <c r="D39" s="149" t="s">
        <v>118</v>
      </c>
      <c r="E39" s="152" t="s">
        <v>136</v>
      </c>
      <c r="F39" s="154" t="s">
        <v>410</v>
      </c>
      <c r="G39" s="144" t="str">
        <f t="shared" si="9"/>
        <v>196910151995011001</v>
      </c>
      <c r="H39" s="144" t="str">
        <f t="shared" si="10"/>
        <v>Penata Tingkat I / III/d</v>
      </c>
      <c r="I39" s="150" t="str">
        <f t="shared" si="11"/>
        <v>Ketua Jurusan Teknik Bangunan Kapal</v>
      </c>
      <c r="J39" s="153" t="str">
        <f t="shared" si="12"/>
        <v>Dr. Eng. Muh. Anis Mustaghfirin, ST., MT.</v>
      </c>
      <c r="K39" s="145" t="str">
        <f t="shared" si="13"/>
        <v>197208051997021001</v>
      </c>
      <c r="L39" s="145" t="str">
        <f t="shared" si="14"/>
        <v>Penata Tingkat I / III/d</v>
      </c>
      <c r="M39" s="145" t="str">
        <f t="shared" si="15"/>
        <v>Wakil Direktur I</v>
      </c>
      <c r="N39" s="148">
        <v>38</v>
      </c>
    </row>
    <row r="40" spans="1:14" s="147" customFormat="1" ht="17.25" customHeight="1">
      <c r="A40" s="152" t="s">
        <v>433</v>
      </c>
      <c r="B40" s="145" t="s">
        <v>188</v>
      </c>
      <c r="C40" s="145" t="str">
        <f t="shared" si="8"/>
        <v>Penata Muda Tingkat I / III/b</v>
      </c>
      <c r="D40" s="149" t="s">
        <v>118</v>
      </c>
      <c r="E40" s="152" t="s">
        <v>142</v>
      </c>
      <c r="F40" s="154" t="s">
        <v>215</v>
      </c>
      <c r="G40" s="144" t="str">
        <f t="shared" si="9"/>
        <v>197605172009121003</v>
      </c>
      <c r="H40" s="144" t="str">
        <f t="shared" si="10"/>
        <v>Penata / III/c</v>
      </c>
      <c r="I40" s="150" t="str">
        <f t="shared" si="11"/>
        <v>Ketua Jurusan Teknik Permesinan Kapal</v>
      </c>
      <c r="J40" s="153" t="str">
        <f t="shared" si="12"/>
        <v>Dr. Eng. Muh. Anis Mustaghfirin, ST., MT.</v>
      </c>
      <c r="K40" s="145" t="str">
        <f t="shared" si="13"/>
        <v>197208051997021001</v>
      </c>
      <c r="L40" s="145" t="str">
        <f t="shared" si="14"/>
        <v>Penata Tingkat I / III/d</v>
      </c>
      <c r="M40" s="145" t="str">
        <f t="shared" si="15"/>
        <v>Wakil Direktur I</v>
      </c>
      <c r="N40" s="148">
        <v>39</v>
      </c>
    </row>
    <row r="41" spans="1:14" s="147" customFormat="1" ht="17.25" customHeight="1">
      <c r="A41" s="152" t="s">
        <v>515</v>
      </c>
      <c r="B41" s="145" t="s">
        <v>189</v>
      </c>
      <c r="C41" s="145" t="str">
        <f t="shared" si="8"/>
        <v>Penata / III/c</v>
      </c>
      <c r="D41" s="149" t="s">
        <v>117</v>
      </c>
      <c r="E41" s="152" t="s">
        <v>155</v>
      </c>
      <c r="F41" s="154" t="s">
        <v>215</v>
      </c>
      <c r="G41" s="144" t="str">
        <f>VLOOKUP(F41,$P$2:$W$28,2,FALSE)</f>
        <v>197605172009121003</v>
      </c>
      <c r="H41" s="144" t="str">
        <f t="shared" si="10"/>
        <v>Penata / III/c</v>
      </c>
      <c r="I41" s="150" t="str">
        <f t="shared" si="11"/>
        <v>Ketua Jurusan Teknik Permesinan Kapal</v>
      </c>
      <c r="J41" s="153" t="str">
        <f t="shared" si="12"/>
        <v>Dr. Eng. Muh. Anis Mustaghfirin, ST., MT.</v>
      </c>
      <c r="K41" s="145" t="str">
        <f t="shared" si="13"/>
        <v>197208051997021001</v>
      </c>
      <c r="L41" s="145" t="str">
        <f t="shared" si="14"/>
        <v>Penata Tingkat I / III/d</v>
      </c>
      <c r="M41" s="145" t="str">
        <f t="shared" si="15"/>
        <v>Wakil Direktur I</v>
      </c>
      <c r="N41" s="148">
        <v>40</v>
      </c>
    </row>
    <row r="42" spans="1:14" s="147" customFormat="1" ht="17.25" customHeight="1">
      <c r="A42" s="152" t="s">
        <v>430</v>
      </c>
      <c r="B42" s="145" t="s">
        <v>180</v>
      </c>
      <c r="C42" s="145" t="str">
        <f t="shared" si="8"/>
        <v>Penata Tingkat I / III/d</v>
      </c>
      <c r="D42" s="149" t="s">
        <v>123</v>
      </c>
      <c r="E42" s="152" t="s">
        <v>155</v>
      </c>
      <c r="F42" s="154" t="s">
        <v>410</v>
      </c>
      <c r="G42" s="144" t="str">
        <f>VLOOKUP(F42,$P$2:$W$28,2,FALSE)</f>
        <v>196910151995011001</v>
      </c>
      <c r="H42" s="144" t="str">
        <f t="shared" si="10"/>
        <v>Penata Tingkat I / III/d</v>
      </c>
      <c r="I42" s="150" t="str">
        <f t="shared" si="11"/>
        <v>Ketua Jurusan Teknik Bangunan Kapal</v>
      </c>
      <c r="J42" s="153" t="str">
        <f t="shared" si="12"/>
        <v>Dr. Eng. Muh. Anis Mustaghfirin, ST., MT.</v>
      </c>
      <c r="K42" s="145" t="str">
        <f t="shared" si="13"/>
        <v>197208051997021001</v>
      </c>
      <c r="L42" s="145" t="str">
        <f t="shared" si="14"/>
        <v>Penata Tingkat I / III/d</v>
      </c>
      <c r="M42" s="145" t="str">
        <f t="shared" si="15"/>
        <v>Wakil Direktur I</v>
      </c>
      <c r="N42" s="148">
        <v>41</v>
      </c>
    </row>
    <row r="43" spans="1:14" s="147" customFormat="1" ht="17.25" customHeight="1">
      <c r="A43" s="152" t="s">
        <v>411</v>
      </c>
      <c r="B43" s="145" t="s">
        <v>183</v>
      </c>
      <c r="C43" s="145" t="str">
        <f t="shared" si="8"/>
        <v>Penata / III/c</v>
      </c>
      <c r="D43" s="149" t="s">
        <v>117</v>
      </c>
      <c r="E43" s="152" t="s">
        <v>155</v>
      </c>
      <c r="F43" s="154" t="s">
        <v>215</v>
      </c>
      <c r="G43" s="144" t="str">
        <f>VLOOKUP(F43,$P$2:$W$28,2,FALSE)</f>
        <v>197605172009121003</v>
      </c>
      <c r="H43" s="144" t="str">
        <f t="shared" si="10"/>
        <v>Penata / III/c</v>
      </c>
      <c r="I43" s="150" t="str">
        <f t="shared" si="11"/>
        <v>Ketua Jurusan Teknik Permesinan Kapal</v>
      </c>
      <c r="J43" s="153" t="str">
        <f t="shared" si="12"/>
        <v>Dr. Eng. Muh. Anis Mustaghfirin, ST., MT.</v>
      </c>
      <c r="K43" s="145" t="str">
        <f t="shared" si="13"/>
        <v>197208051997021001</v>
      </c>
      <c r="L43" s="145" t="str">
        <f t="shared" si="14"/>
        <v>Penata Tingkat I / III/d</v>
      </c>
      <c r="M43" s="145" t="str">
        <f t="shared" si="15"/>
        <v>Wakil Direktur I</v>
      </c>
      <c r="N43" s="148">
        <v>42</v>
      </c>
    </row>
    <row r="44" spans="1:14" s="147" customFormat="1" ht="17.25" customHeight="1">
      <c r="A44" s="152" t="s">
        <v>190</v>
      </c>
      <c r="B44" s="145" t="s">
        <v>191</v>
      </c>
      <c r="C44" s="145" t="str">
        <f t="shared" si="8"/>
        <v>Pembina / IV/a</v>
      </c>
      <c r="D44" s="149" t="s">
        <v>130</v>
      </c>
      <c r="E44" s="152" t="s">
        <v>192</v>
      </c>
      <c r="F44" s="154" t="s">
        <v>410</v>
      </c>
      <c r="G44" s="144" t="str">
        <f t="shared" si="9"/>
        <v>196910151995011001</v>
      </c>
      <c r="H44" s="144" t="str">
        <f t="shared" si="10"/>
        <v>Penata Tingkat I / III/d</v>
      </c>
      <c r="I44" s="150" t="str">
        <f t="shared" si="11"/>
        <v>Ketua Jurusan Teknik Bangunan Kapal</v>
      </c>
      <c r="J44" s="153" t="str">
        <f t="shared" si="12"/>
        <v>Dr. Eng. Muh. Anis Mustaghfirin, ST., MT.</v>
      </c>
      <c r="K44" s="145" t="str">
        <f t="shared" si="13"/>
        <v>197208051997021001</v>
      </c>
      <c r="L44" s="145" t="str">
        <f t="shared" si="14"/>
        <v>Penata Tingkat I / III/d</v>
      </c>
      <c r="M44" s="145" t="str">
        <f t="shared" si="15"/>
        <v>Wakil Direktur I</v>
      </c>
      <c r="N44" s="148">
        <v>43</v>
      </c>
    </row>
    <row r="45" spans="1:14" s="147" customFormat="1" ht="17.25" customHeight="1">
      <c r="A45" s="152" t="s">
        <v>407</v>
      </c>
      <c r="B45" s="145" t="s">
        <v>225</v>
      </c>
      <c r="C45" s="145" t="str">
        <f t="shared" si="8"/>
        <v>Penata Muda Tingkat I / III/b</v>
      </c>
      <c r="D45" s="149" t="s">
        <v>118</v>
      </c>
      <c r="E45" s="152" t="s">
        <v>142</v>
      </c>
      <c r="F45" s="154" t="s">
        <v>398</v>
      </c>
      <c r="G45" s="144" t="str">
        <f t="shared" si="9"/>
        <v>196907131995011001</v>
      </c>
      <c r="H45" s="144" t="str">
        <f t="shared" si="10"/>
        <v>Penata Tingkat I / III/d</v>
      </c>
      <c r="I45" s="150" t="str">
        <f t="shared" si="11"/>
        <v>Ketua Jurusan Teknik Kelistrikan Kapal</v>
      </c>
      <c r="J45" s="153" t="str">
        <f t="shared" si="12"/>
        <v>Dr. Eng. Muh. Anis Mustaghfirin, ST., MT.</v>
      </c>
      <c r="K45" s="145" t="str">
        <f t="shared" si="13"/>
        <v>197208051997021001</v>
      </c>
      <c r="L45" s="145" t="str">
        <f t="shared" si="14"/>
        <v>Penata Tingkat I / III/d</v>
      </c>
      <c r="M45" s="145" t="str">
        <f t="shared" si="15"/>
        <v>Wakil Direktur I</v>
      </c>
      <c r="N45" s="148">
        <v>44</v>
      </c>
    </row>
    <row r="46" spans="1:14" s="147" customFormat="1" ht="17.25" customHeight="1">
      <c r="A46" s="152" t="s">
        <v>408</v>
      </c>
      <c r="B46" s="145" t="s">
        <v>276</v>
      </c>
      <c r="C46" s="145" t="str">
        <f t="shared" si="8"/>
        <v>Penata Tingkat I / III/d</v>
      </c>
      <c r="D46" s="149" t="s">
        <v>123</v>
      </c>
      <c r="E46" s="152" t="s">
        <v>155</v>
      </c>
      <c r="F46" s="154" t="s">
        <v>398</v>
      </c>
      <c r="G46" s="144" t="str">
        <f t="shared" si="9"/>
        <v>196907131995011001</v>
      </c>
      <c r="H46" s="144" t="str">
        <f t="shared" si="10"/>
        <v>Penata Tingkat I / III/d</v>
      </c>
      <c r="I46" s="150" t="str">
        <f t="shared" si="11"/>
        <v>Ketua Jurusan Teknik Kelistrikan Kapal</v>
      </c>
      <c r="J46" s="153" t="str">
        <f t="shared" si="12"/>
        <v>Dr. Eng. Muh. Anis Mustaghfirin, ST., MT.</v>
      </c>
      <c r="K46" s="145" t="str">
        <f t="shared" si="13"/>
        <v>197208051997021001</v>
      </c>
      <c r="L46" s="145" t="str">
        <f t="shared" si="14"/>
        <v>Penata Tingkat I / III/d</v>
      </c>
      <c r="M46" s="145" t="str">
        <f t="shared" si="15"/>
        <v>Wakil Direktur I</v>
      </c>
      <c r="N46" s="148">
        <v>45</v>
      </c>
    </row>
    <row r="47" spans="1:14" s="147" customFormat="1" ht="17.25" customHeight="1">
      <c r="A47" s="152" t="s">
        <v>424</v>
      </c>
      <c r="B47" s="145" t="s">
        <v>195</v>
      </c>
      <c r="C47" s="145" t="str">
        <f t="shared" si="8"/>
        <v>Penata Tingkat I / III/d</v>
      </c>
      <c r="D47" s="149" t="s">
        <v>123</v>
      </c>
      <c r="E47" s="152" t="s">
        <v>155</v>
      </c>
      <c r="F47" s="154" t="s">
        <v>215</v>
      </c>
      <c r="G47" s="144" t="str">
        <f t="shared" si="9"/>
        <v>197605172009121003</v>
      </c>
      <c r="H47" s="144" t="str">
        <f t="shared" si="10"/>
        <v>Penata / III/c</v>
      </c>
      <c r="I47" s="150" t="str">
        <f t="shared" si="11"/>
        <v>Ketua Jurusan Teknik Permesinan Kapal</v>
      </c>
      <c r="J47" s="153" t="str">
        <f t="shared" si="12"/>
        <v>Dr. Eng. Muh. Anis Mustaghfirin, ST., MT.</v>
      </c>
      <c r="K47" s="145" t="str">
        <f t="shared" si="13"/>
        <v>197208051997021001</v>
      </c>
      <c r="L47" s="145" t="str">
        <f t="shared" si="14"/>
        <v>Penata Tingkat I / III/d</v>
      </c>
      <c r="M47" s="145" t="str">
        <f t="shared" si="15"/>
        <v>Wakil Direktur I</v>
      </c>
      <c r="N47" s="148">
        <v>46</v>
      </c>
    </row>
    <row r="48" spans="1:14" s="147" customFormat="1" ht="17.25" customHeight="1">
      <c r="A48" s="152" t="s">
        <v>432</v>
      </c>
      <c r="B48" s="145" t="s">
        <v>226</v>
      </c>
      <c r="C48" s="145" t="str">
        <f t="shared" si="8"/>
        <v>Penata Tingkat I / III/d</v>
      </c>
      <c r="D48" s="149" t="s">
        <v>123</v>
      </c>
      <c r="E48" s="152" t="s">
        <v>155</v>
      </c>
      <c r="F48" s="154" t="s">
        <v>215</v>
      </c>
      <c r="G48" s="144" t="str">
        <f t="shared" si="9"/>
        <v>197605172009121003</v>
      </c>
      <c r="H48" s="144" t="str">
        <f t="shared" si="10"/>
        <v>Penata / III/c</v>
      </c>
      <c r="I48" s="150" t="str">
        <f t="shared" si="11"/>
        <v>Ketua Jurusan Teknik Permesinan Kapal</v>
      </c>
      <c r="J48" s="153" t="str">
        <f t="shared" si="12"/>
        <v>Dr. Eng. Muh. Anis Mustaghfirin, ST., MT.</v>
      </c>
      <c r="K48" s="145" t="str">
        <f t="shared" si="13"/>
        <v>197208051997021001</v>
      </c>
      <c r="L48" s="145" t="str">
        <f t="shared" si="14"/>
        <v>Penata Tingkat I / III/d</v>
      </c>
      <c r="M48" s="145" t="str">
        <f t="shared" si="15"/>
        <v>Wakil Direktur I</v>
      </c>
      <c r="N48" s="148">
        <v>47</v>
      </c>
    </row>
    <row r="49" spans="1:14" s="147" customFormat="1" ht="17.25" customHeight="1">
      <c r="A49" s="152" t="s">
        <v>517</v>
      </c>
      <c r="B49" s="145" t="s">
        <v>257</v>
      </c>
      <c r="C49" s="145" t="str">
        <f t="shared" si="8"/>
        <v>Pembina Tingkat I / IV/b</v>
      </c>
      <c r="D49" s="149" t="s">
        <v>200</v>
      </c>
      <c r="E49" s="152" t="s">
        <v>258</v>
      </c>
      <c r="F49" s="154" t="s">
        <v>410</v>
      </c>
      <c r="G49" s="144" t="str">
        <f t="shared" si="9"/>
        <v>196910151995011001</v>
      </c>
      <c r="H49" s="144" t="str">
        <f t="shared" si="10"/>
        <v>Penata Tingkat I / III/d</v>
      </c>
      <c r="I49" s="150" t="str">
        <f t="shared" si="11"/>
        <v>Ketua Jurusan Teknik Bangunan Kapal</v>
      </c>
      <c r="J49" s="153" t="str">
        <f t="shared" si="12"/>
        <v>Dr. Eng. Muh. Anis Mustaghfirin, ST., MT.</v>
      </c>
      <c r="K49" s="145" t="str">
        <f t="shared" si="13"/>
        <v>197208051997021001</v>
      </c>
      <c r="L49" s="145" t="str">
        <f t="shared" si="14"/>
        <v>Penata Tingkat I / III/d</v>
      </c>
      <c r="M49" s="145" t="str">
        <f t="shared" si="15"/>
        <v>Wakil Direktur I</v>
      </c>
      <c r="N49" s="148">
        <v>48</v>
      </c>
    </row>
    <row r="50" spans="1:14" s="147" customFormat="1" ht="17.25" customHeight="1">
      <c r="A50" s="152" t="s">
        <v>193</v>
      </c>
      <c r="B50" s="145" t="s">
        <v>194</v>
      </c>
      <c r="C50" s="145" t="str">
        <f t="shared" si="8"/>
        <v>Penata Tingkat I / III/d</v>
      </c>
      <c r="D50" s="149" t="s">
        <v>123</v>
      </c>
      <c r="E50" s="152" t="s">
        <v>155</v>
      </c>
      <c r="F50" s="154" t="s">
        <v>398</v>
      </c>
      <c r="G50" s="144" t="str">
        <f t="shared" si="9"/>
        <v>196907131995011001</v>
      </c>
      <c r="H50" s="144" t="str">
        <f t="shared" si="10"/>
        <v>Penata Tingkat I / III/d</v>
      </c>
      <c r="I50" s="150" t="str">
        <f t="shared" si="11"/>
        <v>Ketua Jurusan Teknik Kelistrikan Kapal</v>
      </c>
      <c r="J50" s="153" t="str">
        <f t="shared" si="12"/>
        <v>Dr. Eng. Muh. Anis Mustaghfirin, ST., MT.</v>
      </c>
      <c r="K50" s="145" t="str">
        <f t="shared" si="13"/>
        <v>197208051997021001</v>
      </c>
      <c r="L50" s="145" t="str">
        <f t="shared" si="14"/>
        <v>Penata Tingkat I / III/d</v>
      </c>
      <c r="M50" s="145" t="str">
        <f t="shared" si="15"/>
        <v>Wakil Direktur I</v>
      </c>
      <c r="N50" s="148">
        <v>49</v>
      </c>
    </row>
    <row r="51" spans="1:14" s="147" customFormat="1" ht="17.25" customHeight="1">
      <c r="A51" s="152" t="s">
        <v>412</v>
      </c>
      <c r="B51" s="145" t="s">
        <v>268</v>
      </c>
      <c r="C51" s="145" t="str">
        <f t="shared" si="8"/>
        <v>Penata Tingkat I / III/d</v>
      </c>
      <c r="D51" s="149" t="s">
        <v>123</v>
      </c>
      <c r="E51" s="152" t="s">
        <v>155</v>
      </c>
      <c r="F51" s="154" t="s">
        <v>215</v>
      </c>
      <c r="G51" s="144" t="str">
        <f t="shared" si="9"/>
        <v>197605172009121003</v>
      </c>
      <c r="H51" s="144" t="str">
        <f t="shared" si="10"/>
        <v>Penata / III/c</v>
      </c>
      <c r="I51" s="150" t="str">
        <f t="shared" si="11"/>
        <v>Ketua Jurusan Teknik Permesinan Kapal</v>
      </c>
      <c r="J51" s="153" t="str">
        <f t="shared" si="12"/>
        <v>Dr. Eng. Muh. Anis Mustaghfirin, ST., MT.</v>
      </c>
      <c r="K51" s="145" t="str">
        <f t="shared" si="13"/>
        <v>197208051997021001</v>
      </c>
      <c r="L51" s="145" t="str">
        <f t="shared" si="14"/>
        <v>Penata Tingkat I / III/d</v>
      </c>
      <c r="M51" s="145" t="str">
        <f t="shared" si="15"/>
        <v>Wakil Direktur I</v>
      </c>
      <c r="N51" s="148">
        <v>50</v>
      </c>
    </row>
    <row r="52" spans="1:14" s="147" customFormat="1" ht="17.25" customHeight="1">
      <c r="A52" s="152" t="s">
        <v>431</v>
      </c>
      <c r="B52" s="145" t="s">
        <v>275</v>
      </c>
      <c r="C52" s="145" t="str">
        <f t="shared" si="8"/>
        <v>Penata Tingkat I / III/d</v>
      </c>
      <c r="D52" s="149" t="s">
        <v>123</v>
      </c>
      <c r="E52" s="152" t="s">
        <v>155</v>
      </c>
      <c r="F52" s="154" t="s">
        <v>215</v>
      </c>
      <c r="G52" s="144" t="str">
        <f t="shared" si="9"/>
        <v>197605172009121003</v>
      </c>
      <c r="H52" s="144" t="str">
        <f t="shared" si="10"/>
        <v>Penata / III/c</v>
      </c>
      <c r="I52" s="150" t="str">
        <f t="shared" si="11"/>
        <v>Ketua Jurusan Teknik Permesinan Kapal</v>
      </c>
      <c r="J52" s="153" t="str">
        <f t="shared" si="12"/>
        <v>Dr. Eng. Muh. Anis Mustaghfirin, ST., MT.</v>
      </c>
      <c r="K52" s="145" t="str">
        <f t="shared" si="13"/>
        <v>197208051997021001</v>
      </c>
      <c r="L52" s="145" t="str">
        <f t="shared" si="14"/>
        <v>Penata Tingkat I / III/d</v>
      </c>
      <c r="M52" s="145" t="str">
        <f t="shared" si="15"/>
        <v>Wakil Direktur I</v>
      </c>
      <c r="N52" s="148">
        <v>51</v>
      </c>
    </row>
    <row r="53" spans="1:14" s="147" customFormat="1" ht="17.25" customHeight="1">
      <c r="A53" s="152" t="s">
        <v>518</v>
      </c>
      <c r="B53" s="145" t="s">
        <v>306</v>
      </c>
      <c r="C53" s="145" t="str">
        <f t="shared" si="8"/>
        <v>Penata / III/c</v>
      </c>
      <c r="D53" s="149" t="s">
        <v>117</v>
      </c>
      <c r="E53" s="152" t="s">
        <v>155</v>
      </c>
      <c r="F53" s="154" t="s">
        <v>215</v>
      </c>
      <c r="G53" s="144" t="str">
        <f t="shared" si="9"/>
        <v>197605172009121003</v>
      </c>
      <c r="H53" s="144" t="str">
        <f t="shared" si="10"/>
        <v>Penata / III/c</v>
      </c>
      <c r="I53" s="150" t="str">
        <f t="shared" si="11"/>
        <v>Ketua Jurusan Teknik Permesinan Kapal</v>
      </c>
      <c r="J53" s="153" t="str">
        <f t="shared" si="12"/>
        <v>Dr. Eng. Muh. Anis Mustaghfirin, ST., MT.</v>
      </c>
      <c r="K53" s="145" t="str">
        <f t="shared" si="13"/>
        <v>197208051997021001</v>
      </c>
      <c r="L53" s="145" t="str">
        <f t="shared" si="14"/>
        <v>Penata Tingkat I / III/d</v>
      </c>
      <c r="M53" s="145" t="str">
        <f t="shared" si="15"/>
        <v>Wakil Direktur I</v>
      </c>
      <c r="N53" s="148">
        <v>52</v>
      </c>
    </row>
    <row r="54" spans="1:14" s="147" customFormat="1" ht="17.25" customHeight="1">
      <c r="A54" s="152" t="s">
        <v>516</v>
      </c>
      <c r="B54" s="145" t="s">
        <v>357</v>
      </c>
      <c r="C54" s="145" t="str">
        <f t="shared" si="8"/>
        <v>Penata Tingkat I / III/d</v>
      </c>
      <c r="D54" s="149" t="s">
        <v>123</v>
      </c>
      <c r="E54" s="152" t="s">
        <v>155</v>
      </c>
      <c r="F54" s="154" t="s">
        <v>398</v>
      </c>
      <c r="G54" s="144" t="str">
        <f t="shared" si="9"/>
        <v>196907131995011001</v>
      </c>
      <c r="H54" s="144" t="str">
        <f t="shared" si="10"/>
        <v>Penata Tingkat I / III/d</v>
      </c>
      <c r="I54" s="150" t="str">
        <f t="shared" si="11"/>
        <v>Ketua Jurusan Teknik Kelistrikan Kapal</v>
      </c>
      <c r="J54" s="153" t="str">
        <f t="shared" si="12"/>
        <v>Dr. Eng. Muh. Anis Mustaghfirin, ST., MT.</v>
      </c>
      <c r="K54" s="145" t="str">
        <f t="shared" si="13"/>
        <v>197208051997021001</v>
      </c>
      <c r="L54" s="145" t="str">
        <f t="shared" si="14"/>
        <v>Penata Tingkat I / III/d</v>
      </c>
      <c r="M54" s="145" t="str">
        <f t="shared" si="15"/>
        <v>Wakil Direktur I</v>
      </c>
      <c r="N54" s="148">
        <v>53</v>
      </c>
    </row>
    <row r="55" spans="1:14" s="147" customFormat="1" ht="17.25" customHeight="1">
      <c r="A55" s="152" t="s">
        <v>196</v>
      </c>
      <c r="B55" s="145" t="s">
        <v>197</v>
      </c>
      <c r="C55" s="145" t="str">
        <f t="shared" si="8"/>
        <v>Penata Tingkat I / III/d</v>
      </c>
      <c r="D55" s="149" t="s">
        <v>123</v>
      </c>
      <c r="E55" s="152" t="s">
        <v>133</v>
      </c>
      <c r="F55" s="154" t="s">
        <v>215</v>
      </c>
      <c r="G55" s="144" t="str">
        <f t="shared" si="9"/>
        <v>197605172009121003</v>
      </c>
      <c r="H55" s="144" t="str">
        <f t="shared" si="10"/>
        <v>Penata / III/c</v>
      </c>
      <c r="I55" s="150" t="str">
        <f t="shared" si="11"/>
        <v>Ketua Jurusan Teknik Permesinan Kapal</v>
      </c>
      <c r="J55" s="153" t="str">
        <f t="shared" si="12"/>
        <v>Dr. Eng. Muh. Anis Mustaghfirin, ST., MT.</v>
      </c>
      <c r="K55" s="145" t="str">
        <f t="shared" si="13"/>
        <v>197208051997021001</v>
      </c>
      <c r="L55" s="145" t="str">
        <f t="shared" si="14"/>
        <v>Penata Tingkat I / III/d</v>
      </c>
      <c r="M55" s="145" t="str">
        <f t="shared" si="15"/>
        <v>Wakil Direktur I</v>
      </c>
      <c r="N55" s="148">
        <v>54</v>
      </c>
    </row>
    <row r="56" spans="1:14" s="147" customFormat="1" ht="17.25" customHeight="1">
      <c r="A56" s="152" t="s">
        <v>198</v>
      </c>
      <c r="B56" s="145" t="s">
        <v>199</v>
      </c>
      <c r="C56" s="145" t="str">
        <f t="shared" si="8"/>
        <v>Pembina Tingkat I / IV/b</v>
      </c>
      <c r="D56" s="149" t="s">
        <v>200</v>
      </c>
      <c r="E56" s="152" t="s">
        <v>192</v>
      </c>
      <c r="F56" s="154" t="s">
        <v>410</v>
      </c>
      <c r="G56" s="144" t="str">
        <f t="shared" si="9"/>
        <v>196910151995011001</v>
      </c>
      <c r="H56" s="144" t="str">
        <f t="shared" si="10"/>
        <v>Penata Tingkat I / III/d</v>
      </c>
      <c r="I56" s="150" t="str">
        <f t="shared" si="11"/>
        <v>Ketua Jurusan Teknik Bangunan Kapal</v>
      </c>
      <c r="J56" s="153" t="str">
        <f t="shared" si="12"/>
        <v>Dr. Eng. Muh. Anis Mustaghfirin, ST., MT.</v>
      </c>
      <c r="K56" s="145" t="str">
        <f t="shared" si="13"/>
        <v>197208051997021001</v>
      </c>
      <c r="L56" s="145" t="str">
        <f t="shared" si="14"/>
        <v>Penata Tingkat I / III/d</v>
      </c>
      <c r="M56" s="145" t="str">
        <f t="shared" si="15"/>
        <v>Wakil Direktur I</v>
      </c>
      <c r="N56" s="148">
        <v>55</v>
      </c>
    </row>
    <row r="57" spans="1:14" s="147" customFormat="1" ht="17.25" customHeight="1">
      <c r="A57" s="152" t="s">
        <v>461</v>
      </c>
      <c r="B57" s="145" t="s">
        <v>492</v>
      </c>
      <c r="C57" s="145" t="str">
        <f t="shared" si="8"/>
        <v>Penata Muda Tingkat I / III/b</v>
      </c>
      <c r="D57" s="149" t="s">
        <v>118</v>
      </c>
      <c r="E57" s="152" t="s">
        <v>136</v>
      </c>
      <c r="F57" s="154" t="s">
        <v>398</v>
      </c>
      <c r="G57" s="144" t="str">
        <f t="shared" si="9"/>
        <v>196907131995011001</v>
      </c>
      <c r="H57" s="144" t="str">
        <f t="shared" si="10"/>
        <v>Penata Tingkat I / III/d</v>
      </c>
      <c r="I57" s="150" t="str">
        <f t="shared" si="11"/>
        <v>Ketua Jurusan Teknik Kelistrikan Kapal</v>
      </c>
      <c r="J57" s="153" t="str">
        <f t="shared" si="12"/>
        <v>Dr. Eng. Muh. Anis Mustaghfirin, ST., MT.</v>
      </c>
      <c r="K57" s="145" t="str">
        <f t="shared" si="13"/>
        <v>197208051997021001</v>
      </c>
      <c r="L57" s="145" t="str">
        <f t="shared" si="14"/>
        <v>Penata Tingkat I / III/d</v>
      </c>
      <c r="M57" s="145" t="str">
        <f t="shared" si="15"/>
        <v>Wakil Direktur I</v>
      </c>
      <c r="N57" s="148">
        <v>56</v>
      </c>
    </row>
    <row r="58" spans="1:14" s="147" customFormat="1" ht="17.25" customHeight="1">
      <c r="A58" s="152" t="s">
        <v>201</v>
      </c>
      <c r="B58" s="145" t="s">
        <v>202</v>
      </c>
      <c r="C58" s="145" t="str">
        <f t="shared" si="8"/>
        <v>Penata Muda Tingkat I / III/b</v>
      </c>
      <c r="D58" s="149" t="s">
        <v>118</v>
      </c>
      <c r="E58" s="152" t="s">
        <v>142</v>
      </c>
      <c r="F58" s="154" t="s">
        <v>215</v>
      </c>
      <c r="G58" s="144" t="str">
        <f t="shared" si="9"/>
        <v>197605172009121003</v>
      </c>
      <c r="H58" s="144" t="str">
        <f t="shared" si="10"/>
        <v>Penata / III/c</v>
      </c>
      <c r="I58" s="150" t="str">
        <f t="shared" si="11"/>
        <v>Ketua Jurusan Teknik Permesinan Kapal</v>
      </c>
      <c r="J58" s="153" t="str">
        <f t="shared" si="12"/>
        <v>Dr. Eng. Muh. Anis Mustaghfirin, ST., MT.</v>
      </c>
      <c r="K58" s="145" t="str">
        <f t="shared" si="13"/>
        <v>197208051997021001</v>
      </c>
      <c r="L58" s="145" t="str">
        <f t="shared" si="14"/>
        <v>Penata Tingkat I / III/d</v>
      </c>
      <c r="M58" s="145" t="str">
        <f t="shared" si="15"/>
        <v>Wakil Direktur I</v>
      </c>
      <c r="N58" s="148">
        <v>57</v>
      </c>
    </row>
    <row r="59" spans="1:14" s="147" customFormat="1" ht="17.25" customHeight="1">
      <c r="A59" s="152" t="s">
        <v>203</v>
      </c>
      <c r="B59" s="145" t="s">
        <v>204</v>
      </c>
      <c r="C59" s="145" t="str">
        <f t="shared" si="8"/>
        <v>Pembina Tingkat I / IV/b</v>
      </c>
      <c r="D59" s="149" t="s">
        <v>200</v>
      </c>
      <c r="E59" s="152" t="s">
        <v>164</v>
      </c>
      <c r="F59" s="154" t="s">
        <v>398</v>
      </c>
      <c r="G59" s="144" t="str">
        <f t="shared" si="9"/>
        <v>196907131995011001</v>
      </c>
      <c r="H59" s="144" t="str">
        <f t="shared" si="10"/>
        <v>Penata Tingkat I / III/d</v>
      </c>
      <c r="I59" s="150" t="str">
        <f t="shared" si="11"/>
        <v>Ketua Jurusan Teknik Kelistrikan Kapal</v>
      </c>
      <c r="J59" s="153" t="str">
        <f t="shared" si="12"/>
        <v>Dr. Eng. Muh. Anis Mustaghfirin, ST., MT.</v>
      </c>
      <c r="K59" s="145" t="str">
        <f t="shared" si="13"/>
        <v>197208051997021001</v>
      </c>
      <c r="L59" s="145" t="str">
        <f t="shared" si="14"/>
        <v>Penata Tingkat I / III/d</v>
      </c>
      <c r="M59" s="145" t="str">
        <f t="shared" si="15"/>
        <v>Wakil Direktur I</v>
      </c>
      <c r="N59" s="148">
        <v>58</v>
      </c>
    </row>
    <row r="60" spans="1:14" s="147" customFormat="1" ht="17.25" customHeight="1">
      <c r="A60" s="152" t="s">
        <v>205</v>
      </c>
      <c r="B60" s="145" t="s">
        <v>206</v>
      </c>
      <c r="C60" s="145" t="str">
        <f t="shared" si="8"/>
        <v>Penata Tingkat I / III/d</v>
      </c>
      <c r="D60" s="149" t="s">
        <v>123</v>
      </c>
      <c r="E60" s="152" t="s">
        <v>155</v>
      </c>
      <c r="F60" s="154" t="s">
        <v>398</v>
      </c>
      <c r="G60" s="144" t="str">
        <f t="shared" si="9"/>
        <v>196907131995011001</v>
      </c>
      <c r="H60" s="144" t="str">
        <f t="shared" si="10"/>
        <v>Penata Tingkat I / III/d</v>
      </c>
      <c r="I60" s="150" t="str">
        <f t="shared" si="11"/>
        <v>Ketua Jurusan Teknik Kelistrikan Kapal</v>
      </c>
      <c r="J60" s="153" t="str">
        <f t="shared" si="12"/>
        <v>Dr. Eng. Muh. Anis Mustaghfirin, ST., MT.</v>
      </c>
      <c r="K60" s="145" t="str">
        <f t="shared" si="13"/>
        <v>197208051997021001</v>
      </c>
      <c r="L60" s="145" t="str">
        <f t="shared" si="14"/>
        <v>Penata Tingkat I / III/d</v>
      </c>
      <c r="M60" s="145" t="str">
        <f t="shared" si="15"/>
        <v>Wakil Direktur I</v>
      </c>
      <c r="N60" s="148">
        <v>59</v>
      </c>
    </row>
    <row r="61" spans="1:14" s="147" customFormat="1" ht="17.25" customHeight="1">
      <c r="A61" s="152" t="s">
        <v>438</v>
      </c>
      <c r="B61" s="145" t="s">
        <v>469</v>
      </c>
      <c r="C61" s="145" t="str">
        <f t="shared" si="8"/>
        <v>Penata Muda Tingkat I / III/b</v>
      </c>
      <c r="D61" s="149" t="s">
        <v>118</v>
      </c>
      <c r="E61" s="152" t="s">
        <v>136</v>
      </c>
      <c r="F61" s="154" t="s">
        <v>215</v>
      </c>
      <c r="G61" s="144" t="str">
        <f t="shared" si="9"/>
        <v>197605172009121003</v>
      </c>
      <c r="H61" s="144" t="str">
        <f t="shared" si="10"/>
        <v>Penata / III/c</v>
      </c>
      <c r="I61" s="150" t="str">
        <f t="shared" si="11"/>
        <v>Ketua Jurusan Teknik Permesinan Kapal</v>
      </c>
      <c r="J61" s="153" t="str">
        <f t="shared" si="12"/>
        <v>Dr. Eng. Muh. Anis Mustaghfirin, ST., MT.</v>
      </c>
      <c r="K61" s="145" t="str">
        <f t="shared" si="13"/>
        <v>197208051997021001</v>
      </c>
      <c r="L61" s="145" t="str">
        <f t="shared" si="14"/>
        <v>Penata Tingkat I / III/d</v>
      </c>
      <c r="M61" s="145" t="str">
        <f t="shared" si="15"/>
        <v>Wakil Direktur I</v>
      </c>
      <c r="N61" s="148">
        <v>61</v>
      </c>
    </row>
    <row r="62" spans="1:14" s="147" customFormat="1" ht="17.25" customHeight="1">
      <c r="A62" s="152" t="s">
        <v>443</v>
      </c>
      <c r="B62" s="145" t="s">
        <v>474</v>
      </c>
      <c r="C62" s="145" t="str">
        <f t="shared" si="8"/>
        <v>Penata Muda Tingkat I / III/b</v>
      </c>
      <c r="D62" s="149" t="s">
        <v>118</v>
      </c>
      <c r="E62" s="152" t="s">
        <v>136</v>
      </c>
      <c r="F62" s="154" t="s">
        <v>215</v>
      </c>
      <c r="G62" s="144" t="str">
        <f>VLOOKUP(F62,$P$2:$W$28,2,FALSE)</f>
        <v>197605172009121003</v>
      </c>
      <c r="H62" s="144" t="str">
        <f t="shared" si="10"/>
        <v>Penata / III/c</v>
      </c>
      <c r="I62" s="150" t="str">
        <f t="shared" si="11"/>
        <v>Ketua Jurusan Teknik Permesinan Kapal</v>
      </c>
      <c r="J62" s="153" t="str">
        <f t="shared" si="12"/>
        <v>Dr. Eng. Muh. Anis Mustaghfirin, ST., MT.</v>
      </c>
      <c r="K62" s="145" t="str">
        <f t="shared" si="13"/>
        <v>197208051997021001</v>
      </c>
      <c r="L62" s="145" t="str">
        <f t="shared" si="14"/>
        <v>Penata Tingkat I / III/d</v>
      </c>
      <c r="M62" s="145" t="str">
        <f t="shared" si="15"/>
        <v>Wakil Direktur I</v>
      </c>
      <c r="N62" s="148">
        <v>62</v>
      </c>
    </row>
    <row r="63" spans="1:14" s="147" customFormat="1" ht="17.25" customHeight="1">
      <c r="A63" s="152" t="s">
        <v>439</v>
      </c>
      <c r="B63" s="145" t="s">
        <v>470</v>
      </c>
      <c r="C63" s="145" t="str">
        <f t="shared" si="8"/>
        <v>Penata Muda Tingkat I / III/b</v>
      </c>
      <c r="D63" s="149" t="s">
        <v>118</v>
      </c>
      <c r="E63" s="152" t="s">
        <v>136</v>
      </c>
      <c r="F63" s="154" t="s">
        <v>410</v>
      </c>
      <c r="G63" s="144" t="str">
        <f t="shared" si="9"/>
        <v>196910151995011001</v>
      </c>
      <c r="H63" s="144" t="str">
        <f t="shared" si="10"/>
        <v>Penata Tingkat I / III/d</v>
      </c>
      <c r="I63" s="150" t="str">
        <f t="shared" si="11"/>
        <v>Ketua Jurusan Teknik Bangunan Kapal</v>
      </c>
      <c r="J63" s="153" t="str">
        <f t="shared" si="12"/>
        <v>Dr. Eng. Muh. Anis Mustaghfirin, ST., MT.</v>
      </c>
      <c r="K63" s="145" t="str">
        <f t="shared" si="13"/>
        <v>197208051997021001</v>
      </c>
      <c r="L63" s="145" t="str">
        <f t="shared" si="14"/>
        <v>Penata Tingkat I / III/d</v>
      </c>
      <c r="M63" s="145" t="str">
        <f t="shared" si="15"/>
        <v>Wakil Direktur I</v>
      </c>
      <c r="N63" s="148">
        <v>63</v>
      </c>
    </row>
    <row r="64" spans="1:14" s="147" customFormat="1" ht="17.25" customHeight="1">
      <c r="A64" s="152" t="s">
        <v>207</v>
      </c>
      <c r="B64" s="145" t="s">
        <v>208</v>
      </c>
      <c r="C64" s="145" t="str">
        <f t="shared" si="8"/>
        <v>Pembina / IV/a</v>
      </c>
      <c r="D64" s="149" t="s">
        <v>130</v>
      </c>
      <c r="E64" s="152" t="s">
        <v>164</v>
      </c>
      <c r="F64" s="154" t="s">
        <v>215</v>
      </c>
      <c r="G64" s="144" t="str">
        <f t="shared" si="9"/>
        <v>197605172009121003</v>
      </c>
      <c r="H64" s="144" t="str">
        <f t="shared" si="10"/>
        <v>Penata / III/c</v>
      </c>
      <c r="I64" s="150" t="str">
        <f t="shared" si="11"/>
        <v>Ketua Jurusan Teknik Permesinan Kapal</v>
      </c>
      <c r="J64" s="153" t="str">
        <f t="shared" si="12"/>
        <v>Dr. Eng. Muh. Anis Mustaghfirin, ST., MT.</v>
      </c>
      <c r="K64" s="145" t="str">
        <f t="shared" si="13"/>
        <v>197208051997021001</v>
      </c>
      <c r="L64" s="145" t="str">
        <f t="shared" si="14"/>
        <v>Penata Tingkat I / III/d</v>
      </c>
      <c r="M64" s="145" t="str">
        <f t="shared" si="15"/>
        <v>Wakil Direktur I</v>
      </c>
      <c r="N64" s="148">
        <v>64</v>
      </c>
    </row>
    <row r="65" spans="1:14" s="147" customFormat="1" ht="17.25" customHeight="1">
      <c r="A65" s="152" t="s">
        <v>209</v>
      </c>
      <c r="B65" s="145" t="s">
        <v>210</v>
      </c>
      <c r="C65" s="145" t="str">
        <f t="shared" si="8"/>
        <v>Penata Muda Tingkat I / III/b</v>
      </c>
      <c r="D65" s="149" t="s">
        <v>118</v>
      </c>
      <c r="E65" s="152" t="s">
        <v>142</v>
      </c>
      <c r="F65" s="154" t="s">
        <v>215</v>
      </c>
      <c r="G65" s="144" t="str">
        <f t="shared" ref="G65:G73" si="16">VLOOKUP(F65,$P$2:$W$28,2,FALSE)</f>
        <v>197605172009121003</v>
      </c>
      <c r="H65" s="144" t="str">
        <f t="shared" ref="H65:H72" si="17">VLOOKUP(F65,$P$2:$W$28,3,FALSE)</f>
        <v>Penata / III/c</v>
      </c>
      <c r="I65" s="150" t="str">
        <f t="shared" ref="I65:I72" si="18">VLOOKUP(F65,$P$2:$W$28,4,FALSE)</f>
        <v>Ketua Jurusan Teknik Permesinan Kapal</v>
      </c>
      <c r="J65" s="153" t="str">
        <f t="shared" ref="J65:J70" si="19">VLOOKUP(F65,$P$2:$W$28,5,FALSE)</f>
        <v>Dr. Eng. Muh. Anis Mustaghfirin, ST., MT.</v>
      </c>
      <c r="K65" s="145" t="str">
        <f t="shared" ref="K65:K73" si="20">VLOOKUP(F65,$P$2:$W$28,6,FALSE)</f>
        <v>197208051997021001</v>
      </c>
      <c r="L65" s="145" t="str">
        <f t="shared" ref="L65:L73" si="21">VLOOKUP(F65,$P$2:$W$28,7,FALSE)</f>
        <v>Penata Tingkat I / III/d</v>
      </c>
      <c r="M65" s="145" t="str">
        <f t="shared" ref="M65:M73" si="22">VLOOKUP(F65,$P$2:$W$28,8,FALSE)</f>
        <v>Wakil Direktur I</v>
      </c>
      <c r="N65" s="148">
        <v>65</v>
      </c>
    </row>
    <row r="66" spans="1:14" s="147" customFormat="1" ht="17.25" customHeight="1">
      <c r="A66" s="152" t="s">
        <v>392</v>
      </c>
      <c r="B66" s="145" t="s">
        <v>211</v>
      </c>
      <c r="C66" s="145" t="str">
        <f t="shared" ref="C66:C97" si="23">IF(D66="II/a","Pengatur Muda / II/a",IF(D66="II/b","Pengatur Muda Tingkat I  / II/b",IF(D66="II/c","Pengatur / II/c",IF(D66="II/d","Pengatur Tingkat I / II/d",IF(D66="III/a","Penata Muda / III/a",IF(D66="III/b","Penata Muda Tingkat I / III/b",IF(D66="III/c","Penata / III/c",IF(D66="III/d","Penata Tingkat I / III/d",IF(D66="IV/a","Pembina / IV/a",IF(D66="IV/b","Pembina Tingkat I / IV/b",IF(D66="IV/c","Pembina Utama Muda / IV/c",IF(D66="IV/d","Pembina Utama Madya / IV/d"))))))))))))</f>
        <v>Penata Muda Tingkat I / III/b</v>
      </c>
      <c r="D66" s="149" t="s">
        <v>118</v>
      </c>
      <c r="E66" s="152" t="s">
        <v>142</v>
      </c>
      <c r="F66" s="154" t="s">
        <v>215</v>
      </c>
      <c r="G66" s="144" t="str">
        <f t="shared" si="16"/>
        <v>197605172009121003</v>
      </c>
      <c r="H66" s="144" t="str">
        <f t="shared" si="17"/>
        <v>Penata / III/c</v>
      </c>
      <c r="I66" s="150" t="str">
        <f t="shared" si="18"/>
        <v>Ketua Jurusan Teknik Permesinan Kapal</v>
      </c>
      <c r="J66" s="153" t="str">
        <f t="shared" si="19"/>
        <v>Dr. Eng. Muh. Anis Mustaghfirin, ST., MT.</v>
      </c>
      <c r="K66" s="145" t="str">
        <f t="shared" si="20"/>
        <v>197208051997021001</v>
      </c>
      <c r="L66" s="145" t="str">
        <f t="shared" si="21"/>
        <v>Penata Tingkat I / III/d</v>
      </c>
      <c r="M66" s="145" t="str">
        <f t="shared" si="22"/>
        <v>Wakil Direktur I</v>
      </c>
      <c r="N66" s="148">
        <v>66</v>
      </c>
    </row>
    <row r="67" spans="1:14" s="147" customFormat="1" ht="17.25" customHeight="1">
      <c r="A67" s="152" t="s">
        <v>393</v>
      </c>
      <c r="B67" s="145" t="s">
        <v>212</v>
      </c>
      <c r="C67" s="145" t="str">
        <f t="shared" si="23"/>
        <v>Penata Muda Tingkat I / III/b</v>
      </c>
      <c r="D67" s="149" t="s">
        <v>118</v>
      </c>
      <c r="E67" s="152" t="s">
        <v>142</v>
      </c>
      <c r="F67" s="154" t="s">
        <v>410</v>
      </c>
      <c r="G67" s="144" t="str">
        <f t="shared" si="16"/>
        <v>196910151995011001</v>
      </c>
      <c r="H67" s="144" t="str">
        <f t="shared" si="17"/>
        <v>Penata Tingkat I / III/d</v>
      </c>
      <c r="I67" s="150" t="str">
        <f t="shared" si="18"/>
        <v>Ketua Jurusan Teknik Bangunan Kapal</v>
      </c>
      <c r="J67" s="153" t="str">
        <f t="shared" si="19"/>
        <v>Dr. Eng. Muh. Anis Mustaghfirin, ST., MT.</v>
      </c>
      <c r="K67" s="145" t="str">
        <f t="shared" si="20"/>
        <v>197208051997021001</v>
      </c>
      <c r="L67" s="145" t="str">
        <f t="shared" si="21"/>
        <v>Penata Tingkat I / III/d</v>
      </c>
      <c r="M67" s="145" t="str">
        <f t="shared" si="22"/>
        <v>Wakil Direktur I</v>
      </c>
      <c r="N67" s="148">
        <v>67</v>
      </c>
    </row>
    <row r="68" spans="1:14" s="147" customFormat="1" ht="17.25" customHeight="1">
      <c r="A68" s="152" t="s">
        <v>213</v>
      </c>
      <c r="B68" s="145" t="s">
        <v>214</v>
      </c>
      <c r="C68" s="145" t="str">
        <f t="shared" si="23"/>
        <v>Penata / III/c</v>
      </c>
      <c r="D68" s="149" t="s">
        <v>117</v>
      </c>
      <c r="E68" s="152" t="s">
        <v>155</v>
      </c>
      <c r="F68" s="154" t="s">
        <v>215</v>
      </c>
      <c r="G68" s="144" t="str">
        <f t="shared" si="16"/>
        <v>197605172009121003</v>
      </c>
      <c r="H68" s="144" t="str">
        <f t="shared" si="17"/>
        <v>Penata / III/c</v>
      </c>
      <c r="I68" s="150" t="str">
        <f t="shared" si="18"/>
        <v>Ketua Jurusan Teknik Permesinan Kapal</v>
      </c>
      <c r="J68" s="153" t="str">
        <f t="shared" si="19"/>
        <v>Dr. Eng. Muh. Anis Mustaghfirin, ST., MT.</v>
      </c>
      <c r="K68" s="145" t="str">
        <f t="shared" si="20"/>
        <v>197208051997021001</v>
      </c>
      <c r="L68" s="145" t="str">
        <f t="shared" si="21"/>
        <v>Penata Tingkat I / III/d</v>
      </c>
      <c r="M68" s="145" t="str">
        <f t="shared" si="22"/>
        <v>Wakil Direktur I</v>
      </c>
      <c r="N68" s="148">
        <v>68</v>
      </c>
    </row>
    <row r="69" spans="1:14" s="147" customFormat="1" ht="17.25" customHeight="1">
      <c r="A69" s="152" t="s">
        <v>215</v>
      </c>
      <c r="B69" s="145" t="s">
        <v>216</v>
      </c>
      <c r="C69" s="145" t="str">
        <f t="shared" si="23"/>
        <v>Penata / III/c</v>
      </c>
      <c r="D69" s="149" t="s">
        <v>117</v>
      </c>
      <c r="E69" s="152" t="s">
        <v>155</v>
      </c>
      <c r="F69" s="154" t="s">
        <v>424</v>
      </c>
      <c r="G69" s="144" t="str">
        <f t="shared" si="16"/>
        <v>197208051997021001</v>
      </c>
      <c r="H69" s="144" t="str">
        <f t="shared" si="17"/>
        <v>Penata Tingkat I / III/d</v>
      </c>
      <c r="I69" s="150" t="str">
        <f t="shared" si="18"/>
        <v>Wakil Direktur I</v>
      </c>
      <c r="J69" s="153" t="str">
        <f t="shared" si="19"/>
        <v>Ir. Eko Julianto, M.Sc., FRINA</v>
      </c>
      <c r="K69" s="145" t="str">
        <f t="shared" si="20"/>
        <v>196501231991031002</v>
      </c>
      <c r="L69" s="145" t="str">
        <f t="shared" si="21"/>
        <v>Pembina Tingkat I / IV/b</v>
      </c>
      <c r="M69" s="145" t="str">
        <f t="shared" si="22"/>
        <v>Direktur</v>
      </c>
      <c r="N69" s="148">
        <v>69</v>
      </c>
    </row>
    <row r="70" spans="1:14" s="147" customFormat="1" ht="17.25" customHeight="1">
      <c r="A70" s="152" t="s">
        <v>458</v>
      </c>
      <c r="B70" s="145" t="s">
        <v>489</v>
      </c>
      <c r="C70" s="145" t="str">
        <f t="shared" si="23"/>
        <v>Penata Muda Tingkat I / III/b</v>
      </c>
      <c r="D70" s="149" t="s">
        <v>118</v>
      </c>
      <c r="E70" s="152" t="s">
        <v>136</v>
      </c>
      <c r="F70" s="154" t="s">
        <v>215</v>
      </c>
      <c r="G70" s="144" t="str">
        <f t="shared" si="16"/>
        <v>197605172009121003</v>
      </c>
      <c r="H70" s="144" t="str">
        <f t="shared" si="17"/>
        <v>Penata / III/c</v>
      </c>
      <c r="I70" s="150" t="str">
        <f t="shared" si="18"/>
        <v>Ketua Jurusan Teknik Permesinan Kapal</v>
      </c>
      <c r="J70" s="153" t="str">
        <f t="shared" si="19"/>
        <v>Dr. Eng. Muh. Anis Mustaghfirin, ST., MT.</v>
      </c>
      <c r="K70" s="145" t="str">
        <f t="shared" si="20"/>
        <v>197208051997021001</v>
      </c>
      <c r="L70" s="145" t="str">
        <f t="shared" si="21"/>
        <v>Penata Tingkat I / III/d</v>
      </c>
      <c r="M70" s="145" t="str">
        <f t="shared" si="22"/>
        <v>Wakil Direktur I</v>
      </c>
      <c r="N70" s="148">
        <v>70</v>
      </c>
    </row>
    <row r="71" spans="1:14" s="147" customFormat="1" ht="17.25" customHeight="1">
      <c r="A71" s="152" t="s">
        <v>445</v>
      </c>
      <c r="B71" s="145" t="s">
        <v>476</v>
      </c>
      <c r="C71" s="145" t="str">
        <f t="shared" si="23"/>
        <v>Penata Muda Tingkat I / III/b</v>
      </c>
      <c r="D71" s="149" t="s">
        <v>118</v>
      </c>
      <c r="E71" s="152" t="s">
        <v>136</v>
      </c>
      <c r="F71" s="154" t="s">
        <v>410</v>
      </c>
      <c r="G71" s="144" t="str">
        <f t="shared" si="16"/>
        <v>196910151995011001</v>
      </c>
      <c r="H71" s="144" t="str">
        <f t="shared" si="17"/>
        <v>Penata Tingkat I / III/d</v>
      </c>
      <c r="I71" s="150" t="str">
        <f t="shared" si="18"/>
        <v>Ketua Jurusan Teknik Bangunan Kapal</v>
      </c>
      <c r="J71" s="153" t="str">
        <f>VLOOKUP(F71,$P$2:$W$28,5,FALSE)</f>
        <v>Dr. Eng. Muh. Anis Mustaghfirin, ST., MT.</v>
      </c>
      <c r="K71" s="145" t="str">
        <f t="shared" si="20"/>
        <v>197208051997021001</v>
      </c>
      <c r="L71" s="145" t="str">
        <f t="shared" si="21"/>
        <v>Penata Tingkat I / III/d</v>
      </c>
      <c r="M71" s="145" t="str">
        <f t="shared" si="22"/>
        <v>Wakil Direktur I</v>
      </c>
      <c r="N71" s="148">
        <v>71</v>
      </c>
    </row>
    <row r="72" spans="1:14" s="147" customFormat="1" ht="17.25" customHeight="1">
      <c r="A72" s="152" t="s">
        <v>398</v>
      </c>
      <c r="B72" s="145" t="s">
        <v>217</v>
      </c>
      <c r="C72" s="145" t="str">
        <f t="shared" si="23"/>
        <v>Penata Tingkat I / III/d</v>
      </c>
      <c r="D72" s="149" t="s">
        <v>123</v>
      </c>
      <c r="E72" s="152" t="s">
        <v>133</v>
      </c>
      <c r="F72" s="154" t="s">
        <v>424</v>
      </c>
      <c r="G72" s="144" t="str">
        <f t="shared" si="16"/>
        <v>197208051997021001</v>
      </c>
      <c r="H72" s="144" t="str">
        <f t="shared" si="17"/>
        <v>Penata Tingkat I / III/d</v>
      </c>
      <c r="I72" s="150" t="str">
        <f t="shared" si="18"/>
        <v>Wakil Direktur I</v>
      </c>
      <c r="J72" s="153" t="str">
        <f>VLOOKUP(F72,$P$2:$W$28,5,FALSE)</f>
        <v>Ir. Eko Julianto, M.Sc., FRINA</v>
      </c>
      <c r="K72" s="145" t="str">
        <f t="shared" si="20"/>
        <v>196501231991031002</v>
      </c>
      <c r="L72" s="145" t="str">
        <f t="shared" si="21"/>
        <v>Pembina Tingkat I / IV/b</v>
      </c>
      <c r="M72" s="145" t="str">
        <f t="shared" si="22"/>
        <v>Direktur</v>
      </c>
      <c r="N72" s="148">
        <v>72</v>
      </c>
    </row>
    <row r="73" spans="1:14" s="147" customFormat="1" ht="17.25" customHeight="1">
      <c r="A73" s="152" t="s">
        <v>218</v>
      </c>
      <c r="B73" s="145" t="s">
        <v>219</v>
      </c>
      <c r="C73" s="145" t="str">
        <f t="shared" si="23"/>
        <v>Penata Tingkat I / III/d</v>
      </c>
      <c r="D73" s="149" t="s">
        <v>123</v>
      </c>
      <c r="E73" s="152" t="s">
        <v>155</v>
      </c>
      <c r="F73" s="154" t="s">
        <v>215</v>
      </c>
      <c r="G73" s="144" t="str">
        <f t="shared" si="16"/>
        <v>197605172009121003</v>
      </c>
      <c r="H73" s="144" t="str">
        <f>VLOOKUP(F73,$P$2:$W$28,3,FALSE)</f>
        <v>Penata / III/c</v>
      </c>
      <c r="I73" s="150" t="str">
        <f>VLOOKUP(F73,$P$2:$W$28,4,FALSE)</f>
        <v>Ketua Jurusan Teknik Permesinan Kapal</v>
      </c>
      <c r="J73" s="153" t="str">
        <f>VLOOKUP(F73,$P$2:$W$28,5,FALSE)</f>
        <v>Dr. Eng. Muh. Anis Mustaghfirin, ST., MT.</v>
      </c>
      <c r="K73" s="145" t="str">
        <f t="shared" si="20"/>
        <v>197208051997021001</v>
      </c>
      <c r="L73" s="145" t="str">
        <f t="shared" si="21"/>
        <v>Penata Tingkat I / III/d</v>
      </c>
      <c r="M73" s="145" t="str">
        <f t="shared" si="22"/>
        <v>Wakil Direktur I</v>
      </c>
      <c r="N73" s="148">
        <v>73</v>
      </c>
    </row>
    <row r="74" spans="1:14" s="147" customFormat="1" ht="17.25" customHeight="1">
      <c r="A74" s="152" t="s">
        <v>409</v>
      </c>
      <c r="B74" s="145" t="s">
        <v>220</v>
      </c>
      <c r="C74" s="145" t="str">
        <f t="shared" si="23"/>
        <v>Penata / III/c</v>
      </c>
      <c r="D74" s="149" t="s">
        <v>117</v>
      </c>
      <c r="E74" s="152" t="s">
        <v>133</v>
      </c>
      <c r="F74" s="154" t="s">
        <v>410</v>
      </c>
      <c r="G74" s="144" t="str">
        <f>VLOOKUP(F74,$P$2:$W$28,2,FALSE)</f>
        <v>196910151995011001</v>
      </c>
      <c r="H74" s="144" t="str">
        <f>VLOOKUP(F74,$P$2:$W$28,3,FALSE)</f>
        <v>Penata Tingkat I / III/d</v>
      </c>
      <c r="I74" s="150" t="str">
        <f>VLOOKUP(F74,$P$2:$W$28,4,FALSE)</f>
        <v>Ketua Jurusan Teknik Bangunan Kapal</v>
      </c>
      <c r="J74" s="153" t="str">
        <f>VLOOKUP(F74,$P$2:$W$28,5,FALSE)</f>
        <v>Dr. Eng. Muh. Anis Mustaghfirin, ST., MT.</v>
      </c>
      <c r="K74" s="145" t="str">
        <f t="shared" ref="K74" si="24">VLOOKUP(F74,$P$2:$W$28,6,FALSE)</f>
        <v>197208051997021001</v>
      </c>
      <c r="L74" s="145" t="str">
        <f t="shared" ref="L74" si="25">VLOOKUP(F74,$P$2:$W$28,7,FALSE)</f>
        <v>Penata Tingkat I / III/d</v>
      </c>
      <c r="M74" s="145" t="str">
        <f t="shared" ref="M74" si="26">VLOOKUP(F74,$P$2:$W$28,8,FALSE)</f>
        <v>Wakil Direktur I</v>
      </c>
      <c r="N74" s="148">
        <v>74</v>
      </c>
    </row>
    <row r="75" spans="1:14" s="147" customFormat="1" ht="17.25" customHeight="1">
      <c r="A75" s="152" t="s">
        <v>416</v>
      </c>
      <c r="B75" s="145" t="s">
        <v>421</v>
      </c>
      <c r="C75" s="145" t="str">
        <f t="shared" si="23"/>
        <v>Penata Muda Tingkat I / III/b</v>
      </c>
      <c r="D75" s="149" t="s">
        <v>118</v>
      </c>
      <c r="E75" s="152" t="s">
        <v>142</v>
      </c>
      <c r="F75" s="154" t="s">
        <v>398</v>
      </c>
      <c r="G75" s="144" t="str">
        <f t="shared" ref="G75:G139" si="27">VLOOKUP(F75,$P$2:$W$28,2,FALSE)</f>
        <v>196907131995011001</v>
      </c>
      <c r="H75" s="144" t="str">
        <f t="shared" ref="H75:H139" si="28">VLOOKUP(F75,$P$2:$W$28,3,FALSE)</f>
        <v>Penata Tingkat I / III/d</v>
      </c>
      <c r="I75" s="150" t="str">
        <f t="shared" ref="I75:I139" si="29">VLOOKUP(F75,$P$2:$W$28,4,FALSE)</f>
        <v>Ketua Jurusan Teknik Kelistrikan Kapal</v>
      </c>
      <c r="J75" s="153" t="str">
        <f t="shared" ref="J75:J139" si="30">VLOOKUP(F75,$P$2:$W$28,5,FALSE)</f>
        <v>Dr. Eng. Muh. Anis Mustaghfirin, ST., MT.</v>
      </c>
      <c r="K75" s="145" t="str">
        <f t="shared" ref="K75:K139" si="31">VLOOKUP(F75,$P$2:$W$28,6,FALSE)</f>
        <v>197208051997021001</v>
      </c>
      <c r="L75" s="145" t="str">
        <f t="shared" ref="L75:L139" si="32">VLOOKUP(F75,$P$2:$W$28,7,FALSE)</f>
        <v>Penata Tingkat I / III/d</v>
      </c>
      <c r="M75" s="145" t="str">
        <f t="shared" ref="M75:M139" si="33">VLOOKUP(F75,$P$2:$W$28,8,FALSE)</f>
        <v>Wakil Direktur I</v>
      </c>
      <c r="N75" s="148">
        <v>75</v>
      </c>
    </row>
    <row r="76" spans="1:14" s="147" customFormat="1" ht="17.25" customHeight="1">
      <c r="A76" s="152" t="s">
        <v>417</v>
      </c>
      <c r="B76" s="145" t="s">
        <v>221</v>
      </c>
      <c r="C76" s="145" t="str">
        <f t="shared" si="23"/>
        <v>Penata Muda Tingkat I / III/b</v>
      </c>
      <c r="D76" s="149" t="s">
        <v>118</v>
      </c>
      <c r="E76" s="152" t="s">
        <v>142</v>
      </c>
      <c r="F76" s="154" t="s">
        <v>215</v>
      </c>
      <c r="G76" s="144" t="str">
        <f t="shared" si="27"/>
        <v>197605172009121003</v>
      </c>
      <c r="H76" s="144" t="str">
        <f t="shared" si="28"/>
        <v>Penata / III/c</v>
      </c>
      <c r="I76" s="150" t="str">
        <f t="shared" si="29"/>
        <v>Ketua Jurusan Teknik Permesinan Kapal</v>
      </c>
      <c r="J76" s="153" t="str">
        <f t="shared" si="30"/>
        <v>Dr. Eng. Muh. Anis Mustaghfirin, ST., MT.</v>
      </c>
      <c r="K76" s="145" t="str">
        <f t="shared" si="31"/>
        <v>197208051997021001</v>
      </c>
      <c r="L76" s="145" t="str">
        <f t="shared" si="32"/>
        <v>Penata Tingkat I / III/d</v>
      </c>
      <c r="M76" s="145" t="str">
        <f t="shared" si="33"/>
        <v>Wakil Direktur I</v>
      </c>
      <c r="N76" s="148">
        <v>76</v>
      </c>
    </row>
    <row r="77" spans="1:14" s="147" customFormat="1" ht="17.25" customHeight="1">
      <c r="A77" s="152" t="s">
        <v>460</v>
      </c>
      <c r="B77" s="145" t="s">
        <v>491</v>
      </c>
      <c r="C77" s="145" t="str">
        <f t="shared" si="23"/>
        <v>Penata Muda Tingkat I / III/b</v>
      </c>
      <c r="D77" s="149" t="s">
        <v>118</v>
      </c>
      <c r="E77" s="152" t="s">
        <v>136</v>
      </c>
      <c r="F77" s="154" t="s">
        <v>215</v>
      </c>
      <c r="G77" s="144" t="str">
        <f t="shared" si="27"/>
        <v>197605172009121003</v>
      </c>
      <c r="H77" s="144" t="str">
        <f t="shared" si="28"/>
        <v>Penata / III/c</v>
      </c>
      <c r="I77" s="150" t="str">
        <f t="shared" si="29"/>
        <v>Ketua Jurusan Teknik Permesinan Kapal</v>
      </c>
      <c r="J77" s="153" t="str">
        <f t="shared" si="30"/>
        <v>Dr. Eng. Muh. Anis Mustaghfirin, ST., MT.</v>
      </c>
      <c r="K77" s="145" t="str">
        <f t="shared" si="31"/>
        <v>197208051997021001</v>
      </c>
      <c r="L77" s="145" t="str">
        <f t="shared" si="32"/>
        <v>Penata Tingkat I / III/d</v>
      </c>
      <c r="M77" s="145" t="str">
        <f t="shared" si="33"/>
        <v>Wakil Direktur I</v>
      </c>
      <c r="N77" s="148">
        <v>77</v>
      </c>
    </row>
    <row r="78" spans="1:14" s="147" customFormat="1" ht="17.25" customHeight="1">
      <c r="A78" s="152" t="s">
        <v>394</v>
      </c>
      <c r="B78" s="145" t="s">
        <v>222</v>
      </c>
      <c r="C78" s="145" t="str">
        <f t="shared" si="23"/>
        <v>Penata Muda Tingkat I / III/b</v>
      </c>
      <c r="D78" s="149" t="s">
        <v>118</v>
      </c>
      <c r="E78" s="152" t="s">
        <v>142</v>
      </c>
      <c r="F78" s="154" t="s">
        <v>410</v>
      </c>
      <c r="G78" s="144" t="str">
        <f t="shared" si="27"/>
        <v>196910151995011001</v>
      </c>
      <c r="H78" s="144" t="str">
        <f t="shared" si="28"/>
        <v>Penata Tingkat I / III/d</v>
      </c>
      <c r="I78" s="150" t="str">
        <f t="shared" si="29"/>
        <v>Ketua Jurusan Teknik Bangunan Kapal</v>
      </c>
      <c r="J78" s="153" t="str">
        <f t="shared" si="30"/>
        <v>Dr. Eng. Muh. Anis Mustaghfirin, ST., MT.</v>
      </c>
      <c r="K78" s="145" t="str">
        <f t="shared" si="31"/>
        <v>197208051997021001</v>
      </c>
      <c r="L78" s="145" t="str">
        <f t="shared" si="32"/>
        <v>Penata Tingkat I / III/d</v>
      </c>
      <c r="M78" s="145" t="str">
        <f t="shared" si="33"/>
        <v>Wakil Direktur I</v>
      </c>
      <c r="N78" s="148">
        <v>78</v>
      </c>
    </row>
    <row r="79" spans="1:14" s="147" customFormat="1" ht="17.25" customHeight="1">
      <c r="A79" s="152" t="s">
        <v>223</v>
      </c>
      <c r="B79" s="145" t="s">
        <v>224</v>
      </c>
      <c r="C79" s="145" t="str">
        <f t="shared" si="23"/>
        <v>Penata Muda Tingkat I / III/b</v>
      </c>
      <c r="D79" s="149" t="s">
        <v>118</v>
      </c>
      <c r="E79" s="152" t="s">
        <v>136</v>
      </c>
      <c r="F79" s="154" t="s">
        <v>215</v>
      </c>
      <c r="G79" s="144" t="str">
        <f t="shared" si="27"/>
        <v>197605172009121003</v>
      </c>
      <c r="H79" s="144" t="str">
        <f t="shared" si="28"/>
        <v>Penata / III/c</v>
      </c>
      <c r="I79" s="150" t="str">
        <f t="shared" si="29"/>
        <v>Ketua Jurusan Teknik Permesinan Kapal</v>
      </c>
      <c r="J79" s="153" t="str">
        <f t="shared" si="30"/>
        <v>Dr. Eng. Muh. Anis Mustaghfirin, ST., MT.</v>
      </c>
      <c r="K79" s="145" t="str">
        <f t="shared" si="31"/>
        <v>197208051997021001</v>
      </c>
      <c r="L79" s="145" t="str">
        <f t="shared" si="32"/>
        <v>Penata Tingkat I / III/d</v>
      </c>
      <c r="M79" s="145" t="str">
        <f t="shared" si="33"/>
        <v>Wakil Direktur I</v>
      </c>
      <c r="N79" s="148">
        <v>79</v>
      </c>
    </row>
    <row r="80" spans="1:14" s="147" customFormat="1" ht="17.25" customHeight="1">
      <c r="A80" s="152" t="s">
        <v>227</v>
      </c>
      <c r="B80" s="145" t="s">
        <v>228</v>
      </c>
      <c r="C80" s="145" t="str">
        <f t="shared" si="23"/>
        <v>Penata Tingkat I / III/d</v>
      </c>
      <c r="D80" s="149" t="s">
        <v>123</v>
      </c>
      <c r="E80" s="152" t="s">
        <v>133</v>
      </c>
      <c r="F80" s="154" t="s">
        <v>398</v>
      </c>
      <c r="G80" s="144" t="str">
        <f t="shared" si="27"/>
        <v>196907131995011001</v>
      </c>
      <c r="H80" s="144" t="str">
        <f t="shared" si="28"/>
        <v>Penata Tingkat I / III/d</v>
      </c>
      <c r="I80" s="150" t="str">
        <f t="shared" si="29"/>
        <v>Ketua Jurusan Teknik Kelistrikan Kapal</v>
      </c>
      <c r="J80" s="153" t="str">
        <f t="shared" si="30"/>
        <v>Dr. Eng. Muh. Anis Mustaghfirin, ST., MT.</v>
      </c>
      <c r="K80" s="145" t="str">
        <f t="shared" si="31"/>
        <v>197208051997021001</v>
      </c>
      <c r="L80" s="145" t="str">
        <f t="shared" si="32"/>
        <v>Penata Tingkat I / III/d</v>
      </c>
      <c r="M80" s="145" t="str">
        <f t="shared" si="33"/>
        <v>Wakil Direktur I</v>
      </c>
      <c r="N80" s="148">
        <v>80</v>
      </c>
    </row>
    <row r="81" spans="1:14" s="147" customFormat="1" ht="17.25" customHeight="1">
      <c r="A81" s="152" t="s">
        <v>229</v>
      </c>
      <c r="B81" s="145" t="s">
        <v>230</v>
      </c>
      <c r="C81" s="145" t="str">
        <f t="shared" si="23"/>
        <v>Penata / III/c</v>
      </c>
      <c r="D81" s="149" t="s">
        <v>117</v>
      </c>
      <c r="E81" s="152" t="s">
        <v>133</v>
      </c>
      <c r="F81" s="154" t="s">
        <v>410</v>
      </c>
      <c r="G81" s="144" t="str">
        <f t="shared" si="27"/>
        <v>196910151995011001</v>
      </c>
      <c r="H81" s="144" t="str">
        <f t="shared" si="28"/>
        <v>Penata Tingkat I / III/d</v>
      </c>
      <c r="I81" s="150" t="str">
        <f t="shared" si="29"/>
        <v>Ketua Jurusan Teknik Bangunan Kapal</v>
      </c>
      <c r="J81" s="153" t="str">
        <f t="shared" si="30"/>
        <v>Dr. Eng. Muh. Anis Mustaghfirin, ST., MT.</v>
      </c>
      <c r="K81" s="145" t="str">
        <f t="shared" si="31"/>
        <v>197208051997021001</v>
      </c>
      <c r="L81" s="145" t="str">
        <f t="shared" si="32"/>
        <v>Penata Tingkat I / III/d</v>
      </c>
      <c r="M81" s="145" t="str">
        <f t="shared" si="33"/>
        <v>Wakil Direktur I</v>
      </c>
      <c r="N81" s="148">
        <v>81</v>
      </c>
    </row>
    <row r="82" spans="1:14" s="147" customFormat="1" ht="17.25" customHeight="1">
      <c r="A82" s="152" t="s">
        <v>231</v>
      </c>
      <c r="B82" s="145" t="s">
        <v>232</v>
      </c>
      <c r="C82" s="145" t="str">
        <f t="shared" si="23"/>
        <v>Pembina / IV/a</v>
      </c>
      <c r="D82" s="149" t="s">
        <v>130</v>
      </c>
      <c r="E82" s="152" t="s">
        <v>164</v>
      </c>
      <c r="F82" s="154" t="s">
        <v>410</v>
      </c>
      <c r="G82" s="144" t="str">
        <f t="shared" si="27"/>
        <v>196910151995011001</v>
      </c>
      <c r="H82" s="144" t="str">
        <f t="shared" si="28"/>
        <v>Penata Tingkat I / III/d</v>
      </c>
      <c r="I82" s="150" t="str">
        <f t="shared" si="29"/>
        <v>Ketua Jurusan Teknik Bangunan Kapal</v>
      </c>
      <c r="J82" s="153" t="str">
        <f t="shared" si="30"/>
        <v>Dr. Eng. Muh. Anis Mustaghfirin, ST., MT.</v>
      </c>
      <c r="K82" s="145" t="str">
        <f t="shared" si="31"/>
        <v>197208051997021001</v>
      </c>
      <c r="L82" s="145" t="str">
        <f t="shared" si="32"/>
        <v>Penata Tingkat I / III/d</v>
      </c>
      <c r="M82" s="145" t="str">
        <f t="shared" si="33"/>
        <v>Wakil Direktur I</v>
      </c>
      <c r="N82" s="148">
        <v>82</v>
      </c>
    </row>
    <row r="83" spans="1:14" s="147" customFormat="1" ht="17.25" customHeight="1">
      <c r="A83" s="152" t="s">
        <v>233</v>
      </c>
      <c r="B83" s="145" t="s">
        <v>234</v>
      </c>
      <c r="C83" s="145" t="str">
        <f t="shared" si="23"/>
        <v>Pembina / IV/a</v>
      </c>
      <c r="D83" s="149" t="s">
        <v>130</v>
      </c>
      <c r="E83" s="152" t="s">
        <v>192</v>
      </c>
      <c r="F83" s="154" t="s">
        <v>410</v>
      </c>
      <c r="G83" s="144" t="str">
        <f t="shared" si="27"/>
        <v>196910151995011001</v>
      </c>
      <c r="H83" s="144" t="str">
        <f t="shared" si="28"/>
        <v>Penata Tingkat I / III/d</v>
      </c>
      <c r="I83" s="150" t="str">
        <f t="shared" si="29"/>
        <v>Ketua Jurusan Teknik Bangunan Kapal</v>
      </c>
      <c r="J83" s="153" t="str">
        <f t="shared" si="30"/>
        <v>Dr. Eng. Muh. Anis Mustaghfirin, ST., MT.</v>
      </c>
      <c r="K83" s="145" t="str">
        <f t="shared" si="31"/>
        <v>197208051997021001</v>
      </c>
      <c r="L83" s="145" t="str">
        <f t="shared" si="32"/>
        <v>Penata Tingkat I / III/d</v>
      </c>
      <c r="M83" s="145" t="str">
        <f t="shared" si="33"/>
        <v>Wakil Direktur I</v>
      </c>
      <c r="N83" s="148">
        <v>83</v>
      </c>
    </row>
    <row r="84" spans="1:14" s="147" customFormat="1" ht="17.25" customHeight="1">
      <c r="A84" s="152" t="s">
        <v>406</v>
      </c>
      <c r="B84" s="145" t="s">
        <v>235</v>
      </c>
      <c r="C84" s="145" t="str">
        <f t="shared" si="23"/>
        <v>Pembina Tingkat I / IV/b</v>
      </c>
      <c r="D84" s="149" t="s">
        <v>200</v>
      </c>
      <c r="E84" s="152" t="s">
        <v>236</v>
      </c>
      <c r="F84" s="154" t="s">
        <v>215</v>
      </c>
      <c r="G84" s="144" t="str">
        <f t="shared" si="27"/>
        <v>197605172009121003</v>
      </c>
      <c r="H84" s="144" t="str">
        <f t="shared" si="28"/>
        <v>Penata / III/c</v>
      </c>
      <c r="I84" s="150" t="str">
        <f t="shared" si="29"/>
        <v>Ketua Jurusan Teknik Permesinan Kapal</v>
      </c>
      <c r="J84" s="153" t="str">
        <f t="shared" si="30"/>
        <v>Dr. Eng. Muh. Anis Mustaghfirin, ST., MT.</v>
      </c>
      <c r="K84" s="145" t="str">
        <f t="shared" si="31"/>
        <v>197208051997021001</v>
      </c>
      <c r="L84" s="145" t="str">
        <f t="shared" si="32"/>
        <v>Penata Tingkat I / III/d</v>
      </c>
      <c r="M84" s="145" t="str">
        <f t="shared" si="33"/>
        <v>Wakil Direktur I</v>
      </c>
      <c r="N84" s="148">
        <v>84</v>
      </c>
    </row>
    <row r="85" spans="1:14" s="147" customFormat="1" ht="17.25" customHeight="1">
      <c r="A85" s="152" t="s">
        <v>237</v>
      </c>
      <c r="B85" s="145" t="s">
        <v>238</v>
      </c>
      <c r="C85" s="145" t="str">
        <f t="shared" si="23"/>
        <v>Penata / III/c</v>
      </c>
      <c r="D85" s="149" t="s">
        <v>117</v>
      </c>
      <c r="E85" s="152" t="s">
        <v>133</v>
      </c>
      <c r="F85" s="154" t="s">
        <v>215</v>
      </c>
      <c r="G85" s="144" t="str">
        <f t="shared" si="27"/>
        <v>197605172009121003</v>
      </c>
      <c r="H85" s="144" t="str">
        <f t="shared" si="28"/>
        <v>Penata / III/c</v>
      </c>
      <c r="I85" s="150" t="str">
        <f t="shared" si="29"/>
        <v>Ketua Jurusan Teknik Permesinan Kapal</v>
      </c>
      <c r="J85" s="153" t="str">
        <f t="shared" si="30"/>
        <v>Dr. Eng. Muh. Anis Mustaghfirin, ST., MT.</v>
      </c>
      <c r="K85" s="145" t="str">
        <f t="shared" si="31"/>
        <v>197208051997021001</v>
      </c>
      <c r="L85" s="145" t="str">
        <f t="shared" si="32"/>
        <v>Penata Tingkat I / III/d</v>
      </c>
      <c r="M85" s="145" t="str">
        <f t="shared" si="33"/>
        <v>Wakil Direktur I</v>
      </c>
      <c r="N85" s="148">
        <v>85</v>
      </c>
    </row>
    <row r="86" spans="1:14" s="147" customFormat="1" ht="17.25" customHeight="1">
      <c r="A86" s="152" t="s">
        <v>239</v>
      </c>
      <c r="B86" s="145" t="s">
        <v>240</v>
      </c>
      <c r="C86" s="145" t="str">
        <f t="shared" si="23"/>
        <v>Penata Tingkat I / III/d</v>
      </c>
      <c r="D86" s="149" t="s">
        <v>123</v>
      </c>
      <c r="E86" s="152" t="s">
        <v>133</v>
      </c>
      <c r="F86" s="154" t="s">
        <v>215</v>
      </c>
      <c r="G86" s="144" t="str">
        <f t="shared" si="27"/>
        <v>197605172009121003</v>
      </c>
      <c r="H86" s="144" t="str">
        <f t="shared" si="28"/>
        <v>Penata / III/c</v>
      </c>
      <c r="I86" s="150" t="str">
        <f t="shared" si="29"/>
        <v>Ketua Jurusan Teknik Permesinan Kapal</v>
      </c>
      <c r="J86" s="153" t="str">
        <f t="shared" si="30"/>
        <v>Dr. Eng. Muh. Anis Mustaghfirin, ST., MT.</v>
      </c>
      <c r="K86" s="145" t="str">
        <f t="shared" si="31"/>
        <v>197208051997021001</v>
      </c>
      <c r="L86" s="145" t="str">
        <f t="shared" si="32"/>
        <v>Penata Tingkat I / III/d</v>
      </c>
      <c r="M86" s="145" t="str">
        <f t="shared" si="33"/>
        <v>Wakil Direktur I</v>
      </c>
      <c r="N86" s="148">
        <v>86</v>
      </c>
    </row>
    <row r="87" spans="1:14" s="147" customFormat="1" ht="17.25" customHeight="1">
      <c r="A87" s="152" t="s">
        <v>241</v>
      </c>
      <c r="B87" s="145" t="s">
        <v>242</v>
      </c>
      <c r="C87" s="145" t="str">
        <f t="shared" si="23"/>
        <v>Pembina / IV/a</v>
      </c>
      <c r="D87" s="149" t="s">
        <v>130</v>
      </c>
      <c r="E87" s="152" t="s">
        <v>164</v>
      </c>
      <c r="F87" s="154" t="s">
        <v>410</v>
      </c>
      <c r="G87" s="144" t="str">
        <f t="shared" si="27"/>
        <v>196910151995011001</v>
      </c>
      <c r="H87" s="144" t="str">
        <f t="shared" si="28"/>
        <v>Penata Tingkat I / III/d</v>
      </c>
      <c r="I87" s="150" t="str">
        <f t="shared" si="29"/>
        <v>Ketua Jurusan Teknik Bangunan Kapal</v>
      </c>
      <c r="J87" s="153" t="str">
        <f t="shared" si="30"/>
        <v>Dr. Eng. Muh. Anis Mustaghfirin, ST., MT.</v>
      </c>
      <c r="K87" s="145" t="str">
        <f t="shared" si="31"/>
        <v>197208051997021001</v>
      </c>
      <c r="L87" s="145" t="str">
        <f t="shared" si="32"/>
        <v>Penata Tingkat I / III/d</v>
      </c>
      <c r="M87" s="145" t="str">
        <f t="shared" si="33"/>
        <v>Wakil Direktur I</v>
      </c>
      <c r="N87" s="148">
        <v>87</v>
      </c>
    </row>
    <row r="88" spans="1:14" s="147" customFormat="1" ht="17.25" customHeight="1">
      <c r="A88" s="152" t="s">
        <v>243</v>
      </c>
      <c r="B88" s="145" t="s">
        <v>244</v>
      </c>
      <c r="C88" s="145" t="str">
        <f t="shared" si="23"/>
        <v>Pembina Tingkat I / IV/b</v>
      </c>
      <c r="D88" s="149" t="s">
        <v>200</v>
      </c>
      <c r="E88" s="152" t="s">
        <v>192</v>
      </c>
      <c r="F88" s="154" t="s">
        <v>410</v>
      </c>
      <c r="G88" s="144" t="str">
        <f t="shared" si="27"/>
        <v>196910151995011001</v>
      </c>
      <c r="H88" s="144" t="str">
        <f t="shared" si="28"/>
        <v>Penata Tingkat I / III/d</v>
      </c>
      <c r="I88" s="150" t="str">
        <f t="shared" si="29"/>
        <v>Ketua Jurusan Teknik Bangunan Kapal</v>
      </c>
      <c r="J88" s="153" t="str">
        <f t="shared" si="30"/>
        <v>Dr. Eng. Muh. Anis Mustaghfirin, ST., MT.</v>
      </c>
      <c r="K88" s="145" t="str">
        <f t="shared" si="31"/>
        <v>197208051997021001</v>
      </c>
      <c r="L88" s="145" t="str">
        <f t="shared" si="32"/>
        <v>Penata Tingkat I / III/d</v>
      </c>
      <c r="M88" s="145" t="str">
        <f t="shared" si="33"/>
        <v>Wakil Direktur I</v>
      </c>
      <c r="N88" s="148">
        <v>88</v>
      </c>
    </row>
    <row r="89" spans="1:14" s="147" customFormat="1" ht="17.25" customHeight="1">
      <c r="A89" s="152" t="s">
        <v>245</v>
      </c>
      <c r="B89" s="145" t="s">
        <v>246</v>
      </c>
      <c r="C89" s="145" t="str">
        <f t="shared" si="23"/>
        <v>Pembina / IV/a</v>
      </c>
      <c r="D89" s="149" t="s">
        <v>130</v>
      </c>
      <c r="E89" s="152" t="s">
        <v>192</v>
      </c>
      <c r="F89" s="154" t="s">
        <v>410</v>
      </c>
      <c r="G89" s="144" t="str">
        <f t="shared" si="27"/>
        <v>196910151995011001</v>
      </c>
      <c r="H89" s="144" t="str">
        <f t="shared" si="28"/>
        <v>Penata Tingkat I / III/d</v>
      </c>
      <c r="I89" s="150" t="str">
        <f t="shared" si="29"/>
        <v>Ketua Jurusan Teknik Bangunan Kapal</v>
      </c>
      <c r="J89" s="153" t="str">
        <f t="shared" si="30"/>
        <v>Dr. Eng. Muh. Anis Mustaghfirin, ST., MT.</v>
      </c>
      <c r="K89" s="145" t="str">
        <f t="shared" si="31"/>
        <v>197208051997021001</v>
      </c>
      <c r="L89" s="145" t="str">
        <f t="shared" si="32"/>
        <v>Penata Tingkat I / III/d</v>
      </c>
      <c r="M89" s="145" t="str">
        <f t="shared" si="33"/>
        <v>Wakil Direktur I</v>
      </c>
      <c r="N89" s="148">
        <v>89</v>
      </c>
    </row>
    <row r="90" spans="1:14" s="147" customFormat="1" ht="17.25" customHeight="1">
      <c r="A90" s="152" t="s">
        <v>247</v>
      </c>
      <c r="B90" s="145" t="s">
        <v>248</v>
      </c>
      <c r="C90" s="145" t="str">
        <f t="shared" si="23"/>
        <v>Penata Tingkat I / III/d</v>
      </c>
      <c r="D90" s="149" t="s">
        <v>123</v>
      </c>
      <c r="E90" s="152" t="s">
        <v>133</v>
      </c>
      <c r="F90" s="154" t="s">
        <v>410</v>
      </c>
      <c r="G90" s="144" t="str">
        <f t="shared" si="27"/>
        <v>196910151995011001</v>
      </c>
      <c r="H90" s="144" t="str">
        <f t="shared" si="28"/>
        <v>Penata Tingkat I / III/d</v>
      </c>
      <c r="I90" s="150" t="str">
        <f t="shared" si="29"/>
        <v>Ketua Jurusan Teknik Bangunan Kapal</v>
      </c>
      <c r="J90" s="153" t="str">
        <f t="shared" si="30"/>
        <v>Dr. Eng. Muh. Anis Mustaghfirin, ST., MT.</v>
      </c>
      <c r="K90" s="145" t="str">
        <f t="shared" si="31"/>
        <v>197208051997021001</v>
      </c>
      <c r="L90" s="145" t="str">
        <f t="shared" si="32"/>
        <v>Penata Tingkat I / III/d</v>
      </c>
      <c r="M90" s="145" t="str">
        <f t="shared" si="33"/>
        <v>Wakil Direktur I</v>
      </c>
      <c r="N90" s="148">
        <v>90</v>
      </c>
    </row>
    <row r="91" spans="1:14" s="147" customFormat="1" ht="17.25" customHeight="1">
      <c r="A91" s="152" t="s">
        <v>249</v>
      </c>
      <c r="B91" s="145" t="s">
        <v>250</v>
      </c>
      <c r="C91" s="145" t="str">
        <f t="shared" si="23"/>
        <v>Penata Tingkat I / III/d</v>
      </c>
      <c r="D91" s="149" t="s">
        <v>123</v>
      </c>
      <c r="E91" s="152" t="s">
        <v>133</v>
      </c>
      <c r="F91" s="154" t="s">
        <v>398</v>
      </c>
      <c r="G91" s="144" t="str">
        <f t="shared" si="27"/>
        <v>196907131995011001</v>
      </c>
      <c r="H91" s="144" t="str">
        <f t="shared" si="28"/>
        <v>Penata Tingkat I / III/d</v>
      </c>
      <c r="I91" s="150" t="str">
        <f t="shared" si="29"/>
        <v>Ketua Jurusan Teknik Kelistrikan Kapal</v>
      </c>
      <c r="J91" s="153" t="str">
        <f t="shared" si="30"/>
        <v>Dr. Eng. Muh. Anis Mustaghfirin, ST., MT.</v>
      </c>
      <c r="K91" s="145" t="str">
        <f t="shared" si="31"/>
        <v>197208051997021001</v>
      </c>
      <c r="L91" s="145" t="str">
        <f t="shared" si="32"/>
        <v>Penata Tingkat I / III/d</v>
      </c>
      <c r="M91" s="145" t="str">
        <f t="shared" si="33"/>
        <v>Wakil Direktur I</v>
      </c>
      <c r="N91" s="148">
        <v>91</v>
      </c>
    </row>
    <row r="92" spans="1:14" s="147" customFormat="1" ht="17.25" customHeight="1">
      <c r="A92" s="152" t="s">
        <v>251</v>
      </c>
      <c r="B92" s="145" t="s">
        <v>252</v>
      </c>
      <c r="C92" s="145" t="str">
        <f t="shared" si="23"/>
        <v>Pembina / IV/a</v>
      </c>
      <c r="D92" s="149" t="s">
        <v>130</v>
      </c>
      <c r="E92" s="152" t="s">
        <v>192</v>
      </c>
      <c r="F92" s="154" t="s">
        <v>398</v>
      </c>
      <c r="G92" s="144" t="str">
        <f t="shared" si="27"/>
        <v>196907131995011001</v>
      </c>
      <c r="H92" s="144" t="str">
        <f t="shared" si="28"/>
        <v>Penata Tingkat I / III/d</v>
      </c>
      <c r="I92" s="150" t="str">
        <f t="shared" si="29"/>
        <v>Ketua Jurusan Teknik Kelistrikan Kapal</v>
      </c>
      <c r="J92" s="153" t="str">
        <f t="shared" si="30"/>
        <v>Dr. Eng. Muh. Anis Mustaghfirin, ST., MT.</v>
      </c>
      <c r="K92" s="145" t="str">
        <f t="shared" si="31"/>
        <v>197208051997021001</v>
      </c>
      <c r="L92" s="145" t="str">
        <f t="shared" si="32"/>
        <v>Penata Tingkat I / III/d</v>
      </c>
      <c r="M92" s="145" t="str">
        <f t="shared" si="33"/>
        <v>Wakil Direktur I</v>
      </c>
      <c r="N92" s="148">
        <v>92</v>
      </c>
    </row>
    <row r="93" spans="1:14" s="147" customFormat="1" ht="17.25" customHeight="1">
      <c r="A93" s="152" t="s">
        <v>420</v>
      </c>
      <c r="B93" s="145" t="s">
        <v>253</v>
      </c>
      <c r="C93" s="145" t="str">
        <f t="shared" si="23"/>
        <v>Pembina Utama Muda / IV/c</v>
      </c>
      <c r="D93" s="149" t="s">
        <v>254</v>
      </c>
      <c r="E93" s="152" t="s">
        <v>192</v>
      </c>
      <c r="F93" s="154" t="s">
        <v>215</v>
      </c>
      <c r="G93" s="144" t="str">
        <f t="shared" si="27"/>
        <v>197605172009121003</v>
      </c>
      <c r="H93" s="144" t="str">
        <f t="shared" si="28"/>
        <v>Penata / III/c</v>
      </c>
      <c r="I93" s="150" t="str">
        <f t="shared" si="29"/>
        <v>Ketua Jurusan Teknik Permesinan Kapal</v>
      </c>
      <c r="J93" s="153" t="str">
        <f t="shared" si="30"/>
        <v>Dr. Eng. Muh. Anis Mustaghfirin, ST., MT.</v>
      </c>
      <c r="K93" s="145" t="str">
        <f t="shared" si="31"/>
        <v>197208051997021001</v>
      </c>
      <c r="L93" s="145" t="str">
        <f t="shared" si="32"/>
        <v>Penata Tingkat I / III/d</v>
      </c>
      <c r="M93" s="145" t="str">
        <f t="shared" si="33"/>
        <v>Wakil Direktur I</v>
      </c>
      <c r="N93" s="148">
        <v>93</v>
      </c>
    </row>
    <row r="94" spans="1:14" s="147" customFormat="1" ht="17.25" customHeight="1">
      <c r="A94" s="152" t="s">
        <v>255</v>
      </c>
      <c r="B94" s="145" t="s">
        <v>256</v>
      </c>
      <c r="C94" s="145" t="str">
        <f t="shared" si="23"/>
        <v>Penata / III/c</v>
      </c>
      <c r="D94" s="149" t="s">
        <v>117</v>
      </c>
      <c r="E94" s="152" t="s">
        <v>155</v>
      </c>
      <c r="F94" s="154" t="s">
        <v>398</v>
      </c>
      <c r="G94" s="144" t="str">
        <f t="shared" si="27"/>
        <v>196907131995011001</v>
      </c>
      <c r="H94" s="144" t="str">
        <f t="shared" si="28"/>
        <v>Penata Tingkat I / III/d</v>
      </c>
      <c r="I94" s="150" t="str">
        <f t="shared" si="29"/>
        <v>Ketua Jurusan Teknik Kelistrikan Kapal</v>
      </c>
      <c r="J94" s="153" t="str">
        <f t="shared" si="30"/>
        <v>Dr. Eng. Muh. Anis Mustaghfirin, ST., MT.</v>
      </c>
      <c r="K94" s="145" t="str">
        <f t="shared" si="31"/>
        <v>197208051997021001</v>
      </c>
      <c r="L94" s="145" t="str">
        <f t="shared" si="32"/>
        <v>Penata Tingkat I / III/d</v>
      </c>
      <c r="M94" s="145" t="str">
        <f t="shared" si="33"/>
        <v>Wakil Direktur I</v>
      </c>
      <c r="N94" s="148">
        <v>94</v>
      </c>
    </row>
    <row r="95" spans="1:14" s="147" customFormat="1" ht="17.25" customHeight="1">
      <c r="A95" s="152" t="s">
        <v>259</v>
      </c>
      <c r="B95" s="145" t="s">
        <v>260</v>
      </c>
      <c r="C95" s="145" t="str">
        <f t="shared" si="23"/>
        <v>Penata Muda Tingkat I / III/b</v>
      </c>
      <c r="D95" s="149" t="s">
        <v>118</v>
      </c>
      <c r="E95" s="152" t="s">
        <v>142</v>
      </c>
      <c r="F95" s="154" t="s">
        <v>398</v>
      </c>
      <c r="G95" s="144" t="str">
        <f t="shared" si="27"/>
        <v>196907131995011001</v>
      </c>
      <c r="H95" s="144" t="str">
        <f t="shared" si="28"/>
        <v>Penata Tingkat I / III/d</v>
      </c>
      <c r="I95" s="150" t="str">
        <f t="shared" si="29"/>
        <v>Ketua Jurusan Teknik Kelistrikan Kapal</v>
      </c>
      <c r="J95" s="153" t="str">
        <f t="shared" si="30"/>
        <v>Dr. Eng. Muh. Anis Mustaghfirin, ST., MT.</v>
      </c>
      <c r="K95" s="145" t="str">
        <f t="shared" si="31"/>
        <v>197208051997021001</v>
      </c>
      <c r="L95" s="145" t="str">
        <f t="shared" si="32"/>
        <v>Penata Tingkat I / III/d</v>
      </c>
      <c r="M95" s="145" t="str">
        <f t="shared" si="33"/>
        <v>Wakil Direktur I</v>
      </c>
      <c r="N95" s="148">
        <v>95</v>
      </c>
    </row>
    <row r="96" spans="1:14" s="147" customFormat="1" ht="17.25" customHeight="1">
      <c r="A96" s="152" t="s">
        <v>462</v>
      </c>
      <c r="B96" s="145" t="s">
        <v>493</v>
      </c>
      <c r="C96" s="145" t="str">
        <f t="shared" si="23"/>
        <v>Penata Muda Tingkat I / III/b</v>
      </c>
      <c r="D96" s="149" t="s">
        <v>118</v>
      </c>
      <c r="E96" s="152" t="s">
        <v>136</v>
      </c>
      <c r="F96" s="154" t="s">
        <v>410</v>
      </c>
      <c r="G96" s="144" t="str">
        <f t="shared" si="27"/>
        <v>196910151995011001</v>
      </c>
      <c r="H96" s="144" t="str">
        <f t="shared" si="28"/>
        <v>Penata Tingkat I / III/d</v>
      </c>
      <c r="I96" s="150" t="str">
        <f t="shared" si="29"/>
        <v>Ketua Jurusan Teknik Bangunan Kapal</v>
      </c>
      <c r="J96" s="153" t="str">
        <f t="shared" si="30"/>
        <v>Dr. Eng. Muh. Anis Mustaghfirin, ST., MT.</v>
      </c>
      <c r="K96" s="145" t="str">
        <f t="shared" si="31"/>
        <v>197208051997021001</v>
      </c>
      <c r="L96" s="145" t="str">
        <f t="shared" si="32"/>
        <v>Penata Tingkat I / III/d</v>
      </c>
      <c r="M96" s="145" t="str">
        <f t="shared" si="33"/>
        <v>Wakil Direktur I</v>
      </c>
      <c r="N96" s="148">
        <v>96</v>
      </c>
    </row>
    <row r="97" spans="1:14" s="147" customFormat="1" ht="17.25" customHeight="1">
      <c r="A97" s="152" t="s">
        <v>454</v>
      </c>
      <c r="B97" s="145" t="s">
        <v>485</v>
      </c>
      <c r="C97" s="145" t="str">
        <f t="shared" si="23"/>
        <v>Penata Muda Tingkat I / III/b</v>
      </c>
      <c r="D97" s="149" t="s">
        <v>118</v>
      </c>
      <c r="E97" s="152" t="s">
        <v>136</v>
      </c>
      <c r="F97" s="154" t="s">
        <v>410</v>
      </c>
      <c r="G97" s="144" t="str">
        <f t="shared" si="27"/>
        <v>196910151995011001</v>
      </c>
      <c r="H97" s="144" t="str">
        <f t="shared" si="28"/>
        <v>Penata Tingkat I / III/d</v>
      </c>
      <c r="I97" s="150" t="str">
        <f t="shared" si="29"/>
        <v>Ketua Jurusan Teknik Bangunan Kapal</v>
      </c>
      <c r="J97" s="153" t="str">
        <f t="shared" si="30"/>
        <v>Dr. Eng. Muh. Anis Mustaghfirin, ST., MT.</v>
      </c>
      <c r="K97" s="145" t="str">
        <f t="shared" si="31"/>
        <v>197208051997021001</v>
      </c>
      <c r="L97" s="145" t="str">
        <f t="shared" si="32"/>
        <v>Penata Tingkat I / III/d</v>
      </c>
      <c r="M97" s="145" t="str">
        <f t="shared" si="33"/>
        <v>Wakil Direktur I</v>
      </c>
      <c r="N97" s="148">
        <v>97</v>
      </c>
    </row>
    <row r="98" spans="1:14" s="147" customFormat="1" ht="17.25" customHeight="1">
      <c r="A98" s="152" t="s">
        <v>444</v>
      </c>
      <c r="B98" s="145" t="s">
        <v>475</v>
      </c>
      <c r="C98" s="145" t="str">
        <f t="shared" ref="C98:C129" si="34">IF(D98="II/a","Pengatur Muda / II/a",IF(D98="II/b","Pengatur Muda Tingkat I  / II/b",IF(D98="II/c","Pengatur / II/c",IF(D98="II/d","Pengatur Tingkat I / II/d",IF(D98="III/a","Penata Muda / III/a",IF(D98="III/b","Penata Muda Tingkat I / III/b",IF(D98="III/c","Penata / III/c",IF(D98="III/d","Penata Tingkat I / III/d",IF(D98="IV/a","Pembina / IV/a",IF(D98="IV/b","Pembina Tingkat I / IV/b",IF(D98="IV/c","Pembina Utama Muda / IV/c",IF(D98="IV/d","Pembina Utama Madya / IV/d"))))))))))))</f>
        <v>Penata Muda Tingkat I / III/b</v>
      </c>
      <c r="D98" s="149" t="s">
        <v>118</v>
      </c>
      <c r="E98" s="152" t="s">
        <v>136</v>
      </c>
      <c r="F98" s="154" t="s">
        <v>215</v>
      </c>
      <c r="G98" s="144" t="str">
        <f t="shared" si="27"/>
        <v>197605172009121003</v>
      </c>
      <c r="H98" s="144" t="str">
        <f t="shared" si="28"/>
        <v>Penata / III/c</v>
      </c>
      <c r="I98" s="150" t="str">
        <f t="shared" si="29"/>
        <v>Ketua Jurusan Teknik Permesinan Kapal</v>
      </c>
      <c r="J98" s="153" t="str">
        <f t="shared" si="30"/>
        <v>Dr. Eng. Muh. Anis Mustaghfirin, ST., MT.</v>
      </c>
      <c r="K98" s="145" t="str">
        <f t="shared" si="31"/>
        <v>197208051997021001</v>
      </c>
      <c r="L98" s="145" t="str">
        <f t="shared" si="32"/>
        <v>Penata Tingkat I / III/d</v>
      </c>
      <c r="M98" s="145" t="str">
        <f t="shared" si="33"/>
        <v>Wakil Direktur I</v>
      </c>
      <c r="N98" s="148">
        <v>98</v>
      </c>
    </row>
    <row r="99" spans="1:14" s="147" customFormat="1" ht="17.25" customHeight="1">
      <c r="A99" s="152" t="s">
        <v>261</v>
      </c>
      <c r="B99" s="145" t="s">
        <v>262</v>
      </c>
      <c r="C99" s="145" t="str">
        <f t="shared" si="34"/>
        <v>Penata Tingkat I / III/d</v>
      </c>
      <c r="D99" s="149" t="s">
        <v>123</v>
      </c>
      <c r="E99" s="152" t="s">
        <v>155</v>
      </c>
      <c r="F99" s="154" t="s">
        <v>398</v>
      </c>
      <c r="G99" s="144" t="str">
        <f t="shared" si="27"/>
        <v>196907131995011001</v>
      </c>
      <c r="H99" s="144" t="str">
        <f t="shared" si="28"/>
        <v>Penata Tingkat I / III/d</v>
      </c>
      <c r="I99" s="150" t="str">
        <f t="shared" si="29"/>
        <v>Ketua Jurusan Teknik Kelistrikan Kapal</v>
      </c>
      <c r="J99" s="153" t="str">
        <f t="shared" si="30"/>
        <v>Dr. Eng. Muh. Anis Mustaghfirin, ST., MT.</v>
      </c>
      <c r="K99" s="145" t="str">
        <f t="shared" si="31"/>
        <v>197208051997021001</v>
      </c>
      <c r="L99" s="145" t="str">
        <f t="shared" si="32"/>
        <v>Penata Tingkat I / III/d</v>
      </c>
      <c r="M99" s="145" t="str">
        <f t="shared" si="33"/>
        <v>Wakil Direktur I</v>
      </c>
      <c r="N99" s="148">
        <v>99</v>
      </c>
    </row>
    <row r="100" spans="1:14" s="147" customFormat="1" ht="17.25" customHeight="1">
      <c r="A100" s="152" t="s">
        <v>263</v>
      </c>
      <c r="B100" s="145" t="s">
        <v>264</v>
      </c>
      <c r="C100" s="145" t="str">
        <f t="shared" si="34"/>
        <v>Penata Tingkat I / III/d</v>
      </c>
      <c r="D100" s="149" t="s">
        <v>123</v>
      </c>
      <c r="E100" s="152" t="s">
        <v>155</v>
      </c>
      <c r="F100" s="154" t="s">
        <v>215</v>
      </c>
      <c r="G100" s="144" t="str">
        <f t="shared" si="27"/>
        <v>197605172009121003</v>
      </c>
      <c r="H100" s="144" t="str">
        <f t="shared" si="28"/>
        <v>Penata / III/c</v>
      </c>
      <c r="I100" s="150" t="str">
        <f t="shared" si="29"/>
        <v>Ketua Jurusan Teknik Permesinan Kapal</v>
      </c>
      <c r="J100" s="153" t="str">
        <f t="shared" si="30"/>
        <v>Dr. Eng. Muh. Anis Mustaghfirin, ST., MT.</v>
      </c>
      <c r="K100" s="145" t="str">
        <f t="shared" si="31"/>
        <v>197208051997021001</v>
      </c>
      <c r="L100" s="145" t="str">
        <f t="shared" si="32"/>
        <v>Penata Tingkat I / III/d</v>
      </c>
      <c r="M100" s="145" t="str">
        <f t="shared" si="33"/>
        <v>Wakil Direktur I</v>
      </c>
      <c r="N100" s="148">
        <v>100</v>
      </c>
    </row>
    <row r="101" spans="1:14" s="147" customFormat="1" ht="17.25" customHeight="1">
      <c r="A101" s="152" t="s">
        <v>447</v>
      </c>
      <c r="B101" s="145" t="s">
        <v>478</v>
      </c>
      <c r="C101" s="145" t="str">
        <f t="shared" si="34"/>
        <v>Penata Muda Tingkat I / III/b</v>
      </c>
      <c r="D101" s="149" t="s">
        <v>118</v>
      </c>
      <c r="E101" s="152" t="s">
        <v>136</v>
      </c>
      <c r="F101" s="154" t="s">
        <v>215</v>
      </c>
      <c r="G101" s="144" t="str">
        <f t="shared" si="27"/>
        <v>197605172009121003</v>
      </c>
      <c r="H101" s="144" t="str">
        <f t="shared" si="28"/>
        <v>Penata / III/c</v>
      </c>
      <c r="I101" s="150" t="str">
        <f t="shared" si="29"/>
        <v>Ketua Jurusan Teknik Permesinan Kapal</v>
      </c>
      <c r="J101" s="153" t="str">
        <f t="shared" si="30"/>
        <v>Dr. Eng. Muh. Anis Mustaghfirin, ST., MT.</v>
      </c>
      <c r="K101" s="145" t="str">
        <f t="shared" si="31"/>
        <v>197208051997021001</v>
      </c>
      <c r="L101" s="145" t="str">
        <f t="shared" si="32"/>
        <v>Penata Tingkat I / III/d</v>
      </c>
      <c r="M101" s="145" t="str">
        <f t="shared" si="33"/>
        <v>Wakil Direktur I</v>
      </c>
      <c r="N101" s="148">
        <v>101</v>
      </c>
    </row>
    <row r="102" spans="1:14" s="147" customFormat="1" ht="17.25" customHeight="1">
      <c r="A102" s="152" t="s">
        <v>265</v>
      </c>
      <c r="B102" s="145" t="s">
        <v>266</v>
      </c>
      <c r="C102" s="145" t="str">
        <f t="shared" si="34"/>
        <v>Penata Tingkat I / III/d</v>
      </c>
      <c r="D102" s="149" t="s">
        <v>123</v>
      </c>
      <c r="E102" s="152" t="s">
        <v>155</v>
      </c>
      <c r="F102" s="154" t="s">
        <v>215</v>
      </c>
      <c r="G102" s="144" t="str">
        <f t="shared" si="27"/>
        <v>197605172009121003</v>
      </c>
      <c r="H102" s="144" t="str">
        <f t="shared" si="28"/>
        <v>Penata / III/c</v>
      </c>
      <c r="I102" s="150" t="str">
        <f t="shared" si="29"/>
        <v>Ketua Jurusan Teknik Permesinan Kapal</v>
      </c>
      <c r="J102" s="153" t="str">
        <f t="shared" si="30"/>
        <v>Dr. Eng. Muh. Anis Mustaghfirin, ST., MT.</v>
      </c>
      <c r="K102" s="145" t="str">
        <f t="shared" si="31"/>
        <v>197208051997021001</v>
      </c>
      <c r="L102" s="145" t="str">
        <f t="shared" si="32"/>
        <v>Penata Tingkat I / III/d</v>
      </c>
      <c r="M102" s="145" t="str">
        <f t="shared" si="33"/>
        <v>Wakil Direktur I</v>
      </c>
      <c r="N102" s="148">
        <v>102</v>
      </c>
    </row>
    <row r="103" spans="1:14" s="147" customFormat="1" ht="17.25" customHeight="1">
      <c r="A103" s="208" t="s">
        <v>509</v>
      </c>
      <c r="B103" s="209" t="s">
        <v>512</v>
      </c>
      <c r="C103" s="145" t="str">
        <f t="shared" si="34"/>
        <v>Penata Muda Tingkat I / III/b</v>
      </c>
      <c r="D103" s="209" t="s">
        <v>118</v>
      </c>
      <c r="E103" s="152" t="s">
        <v>136</v>
      </c>
      <c r="F103" s="211" t="s">
        <v>410</v>
      </c>
      <c r="G103" s="144" t="str">
        <f t="shared" si="27"/>
        <v>196910151995011001</v>
      </c>
      <c r="H103" s="144" t="str">
        <f t="shared" si="28"/>
        <v>Penata Tingkat I / III/d</v>
      </c>
      <c r="I103" s="150" t="str">
        <f t="shared" si="29"/>
        <v>Ketua Jurusan Teknik Bangunan Kapal</v>
      </c>
      <c r="J103" s="153" t="str">
        <f t="shared" si="30"/>
        <v>Dr. Eng. Muh. Anis Mustaghfirin, ST., MT.</v>
      </c>
      <c r="K103" s="145" t="str">
        <f t="shared" si="31"/>
        <v>197208051997021001</v>
      </c>
      <c r="L103" s="145" t="str">
        <f t="shared" si="32"/>
        <v>Penata Tingkat I / III/d</v>
      </c>
      <c r="M103" s="145" t="str">
        <f t="shared" si="33"/>
        <v>Wakil Direktur I</v>
      </c>
      <c r="N103" s="148">
        <v>103</v>
      </c>
    </row>
    <row r="104" spans="1:14" s="147" customFormat="1" ht="17.25" customHeight="1">
      <c r="A104" s="152" t="s">
        <v>449</v>
      </c>
      <c r="B104" s="145" t="s">
        <v>480</v>
      </c>
      <c r="C104" s="145" t="str">
        <f t="shared" si="34"/>
        <v>Penata Muda Tingkat I / III/b</v>
      </c>
      <c r="D104" s="149" t="s">
        <v>118</v>
      </c>
      <c r="E104" s="152" t="s">
        <v>136</v>
      </c>
      <c r="F104" s="154" t="s">
        <v>215</v>
      </c>
      <c r="G104" s="144" t="str">
        <f t="shared" si="27"/>
        <v>197605172009121003</v>
      </c>
      <c r="H104" s="144" t="str">
        <f t="shared" si="28"/>
        <v>Penata / III/c</v>
      </c>
      <c r="I104" s="150" t="str">
        <f t="shared" si="29"/>
        <v>Ketua Jurusan Teknik Permesinan Kapal</v>
      </c>
      <c r="J104" s="153" t="str">
        <f t="shared" si="30"/>
        <v>Dr. Eng. Muh. Anis Mustaghfirin, ST., MT.</v>
      </c>
      <c r="K104" s="145" t="str">
        <f t="shared" si="31"/>
        <v>197208051997021001</v>
      </c>
      <c r="L104" s="145" t="str">
        <f t="shared" si="32"/>
        <v>Penata Tingkat I / III/d</v>
      </c>
      <c r="M104" s="145" t="str">
        <f t="shared" si="33"/>
        <v>Wakil Direktur I</v>
      </c>
      <c r="N104" s="148">
        <v>104</v>
      </c>
    </row>
    <row r="105" spans="1:14" s="147" customFormat="1" ht="17.25" customHeight="1">
      <c r="A105" s="152" t="s">
        <v>453</v>
      </c>
      <c r="B105" s="145" t="s">
        <v>484</v>
      </c>
      <c r="C105" s="145" t="str">
        <f t="shared" si="34"/>
        <v>Penata Muda Tingkat I / III/b</v>
      </c>
      <c r="D105" s="149" t="s">
        <v>118</v>
      </c>
      <c r="E105" s="152" t="s">
        <v>136</v>
      </c>
      <c r="F105" s="154" t="s">
        <v>215</v>
      </c>
      <c r="G105" s="144" t="str">
        <f t="shared" si="27"/>
        <v>197605172009121003</v>
      </c>
      <c r="H105" s="144" t="str">
        <f t="shared" si="28"/>
        <v>Penata / III/c</v>
      </c>
      <c r="I105" s="150" t="str">
        <f t="shared" si="29"/>
        <v>Ketua Jurusan Teknik Permesinan Kapal</v>
      </c>
      <c r="J105" s="153" t="str">
        <f t="shared" si="30"/>
        <v>Dr. Eng. Muh. Anis Mustaghfirin, ST., MT.</v>
      </c>
      <c r="K105" s="145" t="str">
        <f t="shared" si="31"/>
        <v>197208051997021001</v>
      </c>
      <c r="L105" s="145" t="str">
        <f t="shared" si="32"/>
        <v>Penata Tingkat I / III/d</v>
      </c>
      <c r="M105" s="145" t="str">
        <f t="shared" si="33"/>
        <v>Wakil Direktur I</v>
      </c>
      <c r="N105" s="148">
        <v>105</v>
      </c>
    </row>
    <row r="106" spans="1:14" s="147" customFormat="1" ht="17.25" customHeight="1">
      <c r="A106" s="152" t="s">
        <v>113</v>
      </c>
      <c r="B106" s="145" t="s">
        <v>114</v>
      </c>
      <c r="C106" s="145" t="str">
        <f t="shared" si="34"/>
        <v>Penata Tingkat I / III/d</v>
      </c>
      <c r="D106" s="149" t="s">
        <v>123</v>
      </c>
      <c r="E106" s="152" t="s">
        <v>155</v>
      </c>
      <c r="F106" s="154" t="s">
        <v>215</v>
      </c>
      <c r="G106" s="144" t="str">
        <f t="shared" si="27"/>
        <v>197605172009121003</v>
      </c>
      <c r="H106" s="144" t="str">
        <f t="shared" si="28"/>
        <v>Penata / III/c</v>
      </c>
      <c r="I106" s="150" t="str">
        <f t="shared" si="29"/>
        <v>Ketua Jurusan Teknik Permesinan Kapal</v>
      </c>
      <c r="J106" s="153" t="str">
        <f t="shared" si="30"/>
        <v>Dr. Eng. Muh. Anis Mustaghfirin, ST., MT.</v>
      </c>
      <c r="K106" s="145" t="str">
        <f t="shared" si="31"/>
        <v>197208051997021001</v>
      </c>
      <c r="L106" s="145" t="str">
        <f t="shared" si="32"/>
        <v>Penata Tingkat I / III/d</v>
      </c>
      <c r="M106" s="145" t="str">
        <f t="shared" si="33"/>
        <v>Wakil Direktur I</v>
      </c>
      <c r="N106" s="148">
        <v>106</v>
      </c>
    </row>
    <row r="107" spans="1:14" s="147" customFormat="1" ht="17.25" customHeight="1">
      <c r="A107" s="152" t="s">
        <v>395</v>
      </c>
      <c r="B107" s="145" t="s">
        <v>267</v>
      </c>
      <c r="C107" s="145" t="str">
        <f t="shared" si="34"/>
        <v>Penata Muda Tingkat I / III/b</v>
      </c>
      <c r="D107" s="149" t="s">
        <v>118</v>
      </c>
      <c r="E107" s="152" t="s">
        <v>142</v>
      </c>
      <c r="F107" s="154" t="s">
        <v>215</v>
      </c>
      <c r="G107" s="144" t="str">
        <f t="shared" si="27"/>
        <v>197605172009121003</v>
      </c>
      <c r="H107" s="144" t="str">
        <f t="shared" si="28"/>
        <v>Penata / III/c</v>
      </c>
      <c r="I107" s="150" t="str">
        <f t="shared" si="29"/>
        <v>Ketua Jurusan Teknik Permesinan Kapal</v>
      </c>
      <c r="J107" s="153" t="str">
        <f t="shared" si="30"/>
        <v>Dr. Eng. Muh. Anis Mustaghfirin, ST., MT.</v>
      </c>
      <c r="K107" s="145" t="str">
        <f t="shared" si="31"/>
        <v>197208051997021001</v>
      </c>
      <c r="L107" s="145" t="str">
        <f t="shared" si="32"/>
        <v>Penata Tingkat I / III/d</v>
      </c>
      <c r="M107" s="145" t="str">
        <f t="shared" si="33"/>
        <v>Wakil Direktur I</v>
      </c>
      <c r="N107" s="148">
        <v>107</v>
      </c>
    </row>
    <row r="108" spans="1:14" s="147" customFormat="1" ht="17.25" customHeight="1">
      <c r="A108" s="152" t="s">
        <v>269</v>
      </c>
      <c r="B108" s="145" t="s">
        <v>270</v>
      </c>
      <c r="C108" s="145" t="str">
        <f t="shared" si="34"/>
        <v>Penata / III/c</v>
      </c>
      <c r="D108" s="149" t="s">
        <v>117</v>
      </c>
      <c r="E108" s="152" t="s">
        <v>155</v>
      </c>
      <c r="F108" s="154" t="s">
        <v>215</v>
      </c>
      <c r="G108" s="144" t="str">
        <f t="shared" si="27"/>
        <v>197605172009121003</v>
      </c>
      <c r="H108" s="144" t="str">
        <f t="shared" si="28"/>
        <v>Penata / III/c</v>
      </c>
      <c r="I108" s="150" t="str">
        <f t="shared" si="29"/>
        <v>Ketua Jurusan Teknik Permesinan Kapal</v>
      </c>
      <c r="J108" s="153" t="str">
        <f t="shared" si="30"/>
        <v>Dr. Eng. Muh. Anis Mustaghfirin, ST., MT.</v>
      </c>
      <c r="K108" s="145" t="str">
        <f t="shared" si="31"/>
        <v>197208051997021001</v>
      </c>
      <c r="L108" s="145" t="str">
        <f t="shared" si="32"/>
        <v>Penata Tingkat I / III/d</v>
      </c>
      <c r="M108" s="145" t="str">
        <f t="shared" si="33"/>
        <v>Wakil Direktur I</v>
      </c>
      <c r="N108" s="148">
        <v>108</v>
      </c>
    </row>
    <row r="109" spans="1:14" s="147" customFormat="1" ht="17.25" customHeight="1">
      <c r="A109" s="152" t="s">
        <v>396</v>
      </c>
      <c r="B109" s="145" t="s">
        <v>271</v>
      </c>
      <c r="C109" s="145" t="str">
        <f t="shared" si="34"/>
        <v>Penata Muda Tingkat I / III/b</v>
      </c>
      <c r="D109" s="149" t="s">
        <v>118</v>
      </c>
      <c r="E109" s="152" t="s">
        <v>142</v>
      </c>
      <c r="F109" s="154" t="s">
        <v>215</v>
      </c>
      <c r="G109" s="144" t="str">
        <f t="shared" si="27"/>
        <v>197605172009121003</v>
      </c>
      <c r="H109" s="144" t="str">
        <f t="shared" si="28"/>
        <v>Penata / III/c</v>
      </c>
      <c r="I109" s="150" t="str">
        <f t="shared" si="29"/>
        <v>Ketua Jurusan Teknik Permesinan Kapal</v>
      </c>
      <c r="J109" s="153" t="str">
        <f t="shared" si="30"/>
        <v>Dr. Eng. Muh. Anis Mustaghfirin, ST., MT.</v>
      </c>
      <c r="K109" s="145" t="str">
        <f t="shared" si="31"/>
        <v>197208051997021001</v>
      </c>
      <c r="L109" s="145" t="str">
        <f t="shared" si="32"/>
        <v>Penata Tingkat I / III/d</v>
      </c>
      <c r="M109" s="145" t="str">
        <f t="shared" si="33"/>
        <v>Wakil Direktur I</v>
      </c>
      <c r="N109" s="148">
        <v>109</v>
      </c>
    </row>
    <row r="110" spans="1:14" s="147" customFormat="1" ht="17.25" customHeight="1">
      <c r="A110" s="152" t="s">
        <v>397</v>
      </c>
      <c r="B110" s="145" t="s">
        <v>272</v>
      </c>
      <c r="C110" s="145" t="str">
        <f t="shared" si="34"/>
        <v>Penata Muda Tingkat I / III/b</v>
      </c>
      <c r="D110" s="149" t="s">
        <v>118</v>
      </c>
      <c r="E110" s="152" t="s">
        <v>142</v>
      </c>
      <c r="F110" s="154" t="s">
        <v>215</v>
      </c>
      <c r="G110" s="144" t="str">
        <f t="shared" si="27"/>
        <v>197605172009121003</v>
      </c>
      <c r="H110" s="144" t="str">
        <f t="shared" si="28"/>
        <v>Penata / III/c</v>
      </c>
      <c r="I110" s="150" t="str">
        <f t="shared" si="29"/>
        <v>Ketua Jurusan Teknik Permesinan Kapal</v>
      </c>
      <c r="J110" s="153" t="str">
        <f t="shared" si="30"/>
        <v>Dr. Eng. Muh. Anis Mustaghfirin, ST., MT.</v>
      </c>
      <c r="K110" s="145" t="str">
        <f t="shared" si="31"/>
        <v>197208051997021001</v>
      </c>
      <c r="L110" s="145" t="str">
        <f t="shared" si="32"/>
        <v>Penata Tingkat I / III/d</v>
      </c>
      <c r="M110" s="145" t="str">
        <f t="shared" si="33"/>
        <v>Wakil Direktur I</v>
      </c>
      <c r="N110" s="148">
        <v>110</v>
      </c>
    </row>
    <row r="111" spans="1:14" s="147" customFormat="1" ht="17.25" customHeight="1">
      <c r="A111" s="152" t="s">
        <v>451</v>
      </c>
      <c r="B111" s="145" t="s">
        <v>482</v>
      </c>
      <c r="C111" s="145" t="str">
        <f t="shared" si="34"/>
        <v>Penata Muda Tingkat I / III/b</v>
      </c>
      <c r="D111" s="149" t="s">
        <v>118</v>
      </c>
      <c r="E111" s="152" t="s">
        <v>136</v>
      </c>
      <c r="F111" s="154" t="s">
        <v>410</v>
      </c>
      <c r="G111" s="144" t="str">
        <f t="shared" si="27"/>
        <v>196910151995011001</v>
      </c>
      <c r="H111" s="144" t="str">
        <f t="shared" si="28"/>
        <v>Penata Tingkat I / III/d</v>
      </c>
      <c r="I111" s="150" t="str">
        <f t="shared" si="29"/>
        <v>Ketua Jurusan Teknik Bangunan Kapal</v>
      </c>
      <c r="J111" s="153" t="str">
        <f t="shared" si="30"/>
        <v>Dr. Eng. Muh. Anis Mustaghfirin, ST., MT.</v>
      </c>
      <c r="K111" s="145" t="str">
        <f t="shared" si="31"/>
        <v>197208051997021001</v>
      </c>
      <c r="L111" s="145" t="str">
        <f t="shared" si="32"/>
        <v>Penata Tingkat I / III/d</v>
      </c>
      <c r="M111" s="145" t="str">
        <f t="shared" si="33"/>
        <v>Wakil Direktur I</v>
      </c>
      <c r="N111" s="148">
        <v>111</v>
      </c>
    </row>
    <row r="112" spans="1:14" s="147" customFormat="1" ht="17.25" customHeight="1">
      <c r="A112" s="152" t="s">
        <v>273</v>
      </c>
      <c r="B112" s="145" t="s">
        <v>274</v>
      </c>
      <c r="C112" s="145" t="str">
        <f t="shared" si="34"/>
        <v>Penata Tingkat I / III/d</v>
      </c>
      <c r="D112" s="149" t="s">
        <v>123</v>
      </c>
      <c r="E112" s="152" t="s">
        <v>155</v>
      </c>
      <c r="F112" s="154" t="s">
        <v>410</v>
      </c>
      <c r="G112" s="144" t="str">
        <f t="shared" si="27"/>
        <v>196910151995011001</v>
      </c>
      <c r="H112" s="144" t="str">
        <f t="shared" si="28"/>
        <v>Penata Tingkat I / III/d</v>
      </c>
      <c r="I112" s="150" t="str">
        <f t="shared" si="29"/>
        <v>Ketua Jurusan Teknik Bangunan Kapal</v>
      </c>
      <c r="J112" s="153" t="str">
        <f t="shared" si="30"/>
        <v>Dr. Eng. Muh. Anis Mustaghfirin, ST., MT.</v>
      </c>
      <c r="K112" s="145" t="str">
        <f t="shared" si="31"/>
        <v>197208051997021001</v>
      </c>
      <c r="L112" s="145" t="str">
        <f t="shared" si="32"/>
        <v>Penata Tingkat I / III/d</v>
      </c>
      <c r="M112" s="145" t="str">
        <f t="shared" si="33"/>
        <v>Wakil Direktur I</v>
      </c>
      <c r="N112" s="148">
        <v>112</v>
      </c>
    </row>
    <row r="113" spans="1:14" s="147" customFormat="1" ht="17.25" customHeight="1">
      <c r="A113" s="152" t="s">
        <v>450</v>
      </c>
      <c r="B113" s="145" t="s">
        <v>481</v>
      </c>
      <c r="C113" s="145" t="str">
        <f t="shared" si="34"/>
        <v>Penata Muda Tingkat I / III/b</v>
      </c>
      <c r="D113" s="149" t="s">
        <v>118</v>
      </c>
      <c r="E113" s="152" t="s">
        <v>136</v>
      </c>
      <c r="F113" s="154" t="s">
        <v>410</v>
      </c>
      <c r="G113" s="144" t="str">
        <f t="shared" si="27"/>
        <v>196910151995011001</v>
      </c>
      <c r="H113" s="144" t="str">
        <f t="shared" si="28"/>
        <v>Penata Tingkat I / III/d</v>
      </c>
      <c r="I113" s="150" t="str">
        <f t="shared" si="29"/>
        <v>Ketua Jurusan Teknik Bangunan Kapal</v>
      </c>
      <c r="J113" s="153" t="str">
        <f t="shared" si="30"/>
        <v>Dr. Eng. Muh. Anis Mustaghfirin, ST., MT.</v>
      </c>
      <c r="K113" s="145" t="str">
        <f t="shared" si="31"/>
        <v>197208051997021001</v>
      </c>
      <c r="L113" s="145" t="str">
        <f t="shared" si="32"/>
        <v>Penata Tingkat I / III/d</v>
      </c>
      <c r="M113" s="145" t="str">
        <f t="shared" si="33"/>
        <v>Wakil Direktur I</v>
      </c>
      <c r="N113" s="148">
        <v>113</v>
      </c>
    </row>
    <row r="114" spans="1:14" s="147" customFormat="1" ht="17.25" customHeight="1">
      <c r="A114" s="152" t="s">
        <v>277</v>
      </c>
      <c r="B114" s="145" t="s">
        <v>278</v>
      </c>
      <c r="C114" s="145" t="str">
        <f t="shared" si="34"/>
        <v>Penata Tingkat I / III/d</v>
      </c>
      <c r="D114" s="149" t="s">
        <v>123</v>
      </c>
      <c r="E114" s="152" t="s">
        <v>155</v>
      </c>
      <c r="F114" s="154" t="s">
        <v>398</v>
      </c>
      <c r="G114" s="144" t="str">
        <f t="shared" si="27"/>
        <v>196907131995011001</v>
      </c>
      <c r="H114" s="144" t="str">
        <f t="shared" si="28"/>
        <v>Penata Tingkat I / III/d</v>
      </c>
      <c r="I114" s="150" t="str">
        <f t="shared" si="29"/>
        <v>Ketua Jurusan Teknik Kelistrikan Kapal</v>
      </c>
      <c r="J114" s="153" t="str">
        <f t="shared" si="30"/>
        <v>Dr. Eng. Muh. Anis Mustaghfirin, ST., MT.</v>
      </c>
      <c r="K114" s="145" t="str">
        <f t="shared" si="31"/>
        <v>197208051997021001</v>
      </c>
      <c r="L114" s="145" t="str">
        <f t="shared" si="32"/>
        <v>Penata Tingkat I / III/d</v>
      </c>
      <c r="M114" s="145" t="str">
        <f t="shared" si="33"/>
        <v>Wakil Direktur I</v>
      </c>
      <c r="N114" s="148">
        <v>114</v>
      </c>
    </row>
    <row r="115" spans="1:14" s="147" customFormat="1" ht="17.25" customHeight="1">
      <c r="A115" s="152" t="s">
        <v>279</v>
      </c>
      <c r="B115" s="145" t="s">
        <v>280</v>
      </c>
      <c r="C115" s="145" t="str">
        <f t="shared" si="34"/>
        <v>Penata / III/c</v>
      </c>
      <c r="D115" s="149" t="s">
        <v>117</v>
      </c>
      <c r="E115" s="152" t="s">
        <v>155</v>
      </c>
      <c r="F115" s="154" t="s">
        <v>410</v>
      </c>
      <c r="G115" s="144" t="str">
        <f t="shared" si="27"/>
        <v>196910151995011001</v>
      </c>
      <c r="H115" s="144" t="str">
        <f t="shared" si="28"/>
        <v>Penata Tingkat I / III/d</v>
      </c>
      <c r="I115" s="150" t="str">
        <f t="shared" si="29"/>
        <v>Ketua Jurusan Teknik Bangunan Kapal</v>
      </c>
      <c r="J115" s="153" t="str">
        <f t="shared" si="30"/>
        <v>Dr. Eng. Muh. Anis Mustaghfirin, ST., MT.</v>
      </c>
      <c r="K115" s="145" t="str">
        <f t="shared" si="31"/>
        <v>197208051997021001</v>
      </c>
      <c r="L115" s="145" t="str">
        <f t="shared" si="32"/>
        <v>Penata Tingkat I / III/d</v>
      </c>
      <c r="M115" s="145" t="str">
        <f t="shared" si="33"/>
        <v>Wakil Direktur I</v>
      </c>
      <c r="N115" s="148">
        <v>115</v>
      </c>
    </row>
    <row r="116" spans="1:14" s="147" customFormat="1" ht="17.25" customHeight="1">
      <c r="A116" s="152" t="s">
        <v>281</v>
      </c>
      <c r="B116" s="145" t="s">
        <v>282</v>
      </c>
      <c r="C116" s="145" t="str">
        <f t="shared" si="34"/>
        <v>Penata Muda Tingkat I / III/b</v>
      </c>
      <c r="D116" s="149" t="s">
        <v>118</v>
      </c>
      <c r="E116" s="152" t="s">
        <v>142</v>
      </c>
      <c r="F116" s="154" t="s">
        <v>410</v>
      </c>
      <c r="G116" s="144" t="str">
        <f t="shared" si="27"/>
        <v>196910151995011001</v>
      </c>
      <c r="H116" s="144" t="str">
        <f t="shared" si="28"/>
        <v>Penata Tingkat I / III/d</v>
      </c>
      <c r="I116" s="150" t="str">
        <f t="shared" si="29"/>
        <v>Ketua Jurusan Teknik Bangunan Kapal</v>
      </c>
      <c r="J116" s="153" t="str">
        <f t="shared" si="30"/>
        <v>Dr. Eng. Muh. Anis Mustaghfirin, ST., MT.</v>
      </c>
      <c r="K116" s="145" t="str">
        <f t="shared" si="31"/>
        <v>197208051997021001</v>
      </c>
      <c r="L116" s="145" t="str">
        <f t="shared" si="32"/>
        <v>Penata Tingkat I / III/d</v>
      </c>
      <c r="M116" s="145" t="str">
        <f t="shared" si="33"/>
        <v>Wakil Direktur I</v>
      </c>
      <c r="N116" s="148">
        <v>116</v>
      </c>
    </row>
    <row r="117" spans="1:14" s="147" customFormat="1" ht="17.25" customHeight="1">
      <c r="A117" s="152" t="s">
        <v>283</v>
      </c>
      <c r="B117" s="145" t="s">
        <v>284</v>
      </c>
      <c r="C117" s="145" t="str">
        <f t="shared" si="34"/>
        <v>Penata Muda Tingkat I / III/b</v>
      </c>
      <c r="D117" s="149" t="s">
        <v>118</v>
      </c>
      <c r="E117" s="152" t="s">
        <v>142</v>
      </c>
      <c r="F117" s="154" t="s">
        <v>398</v>
      </c>
      <c r="G117" s="144" t="str">
        <f t="shared" si="27"/>
        <v>196907131995011001</v>
      </c>
      <c r="H117" s="144" t="str">
        <f t="shared" si="28"/>
        <v>Penata Tingkat I / III/d</v>
      </c>
      <c r="I117" s="150" t="str">
        <f t="shared" si="29"/>
        <v>Ketua Jurusan Teknik Kelistrikan Kapal</v>
      </c>
      <c r="J117" s="153" t="str">
        <f t="shared" si="30"/>
        <v>Dr. Eng. Muh. Anis Mustaghfirin, ST., MT.</v>
      </c>
      <c r="K117" s="145" t="str">
        <f t="shared" si="31"/>
        <v>197208051997021001</v>
      </c>
      <c r="L117" s="145" t="str">
        <f t="shared" si="32"/>
        <v>Penata Tingkat I / III/d</v>
      </c>
      <c r="M117" s="145" t="str">
        <f t="shared" si="33"/>
        <v>Wakil Direktur I</v>
      </c>
      <c r="N117" s="148">
        <v>117</v>
      </c>
    </row>
    <row r="118" spans="1:14" s="147" customFormat="1" ht="17.25" customHeight="1">
      <c r="A118" s="152" t="s">
        <v>448</v>
      </c>
      <c r="B118" s="145" t="s">
        <v>479</v>
      </c>
      <c r="C118" s="145" t="str">
        <f t="shared" si="34"/>
        <v>Penata Muda Tingkat I / III/b</v>
      </c>
      <c r="D118" s="149" t="s">
        <v>118</v>
      </c>
      <c r="E118" s="152" t="s">
        <v>136</v>
      </c>
      <c r="F118" s="154" t="s">
        <v>410</v>
      </c>
      <c r="G118" s="144" t="str">
        <f t="shared" si="27"/>
        <v>196910151995011001</v>
      </c>
      <c r="H118" s="144" t="str">
        <f t="shared" si="28"/>
        <v>Penata Tingkat I / III/d</v>
      </c>
      <c r="I118" s="150" t="str">
        <f t="shared" si="29"/>
        <v>Ketua Jurusan Teknik Bangunan Kapal</v>
      </c>
      <c r="J118" s="153" t="str">
        <f t="shared" si="30"/>
        <v>Dr. Eng. Muh. Anis Mustaghfirin, ST., MT.</v>
      </c>
      <c r="K118" s="145" t="str">
        <f t="shared" si="31"/>
        <v>197208051997021001</v>
      </c>
      <c r="L118" s="145" t="str">
        <f t="shared" si="32"/>
        <v>Penata Tingkat I / III/d</v>
      </c>
      <c r="M118" s="145" t="str">
        <f t="shared" si="33"/>
        <v>Wakil Direktur I</v>
      </c>
      <c r="N118" s="148">
        <v>118</v>
      </c>
    </row>
    <row r="119" spans="1:14" s="147" customFormat="1" ht="17.25" customHeight="1">
      <c r="A119" s="152" t="s">
        <v>285</v>
      </c>
      <c r="B119" s="145" t="s">
        <v>286</v>
      </c>
      <c r="C119" s="145" t="str">
        <f t="shared" si="34"/>
        <v>Pembina / IV/a</v>
      </c>
      <c r="D119" s="149" t="s">
        <v>130</v>
      </c>
      <c r="E119" s="152" t="s">
        <v>164</v>
      </c>
      <c r="F119" s="154" t="s">
        <v>215</v>
      </c>
      <c r="G119" s="144" t="str">
        <f t="shared" si="27"/>
        <v>197605172009121003</v>
      </c>
      <c r="H119" s="144" t="str">
        <f t="shared" si="28"/>
        <v>Penata / III/c</v>
      </c>
      <c r="I119" s="150" t="str">
        <f t="shared" si="29"/>
        <v>Ketua Jurusan Teknik Permesinan Kapal</v>
      </c>
      <c r="J119" s="153" t="str">
        <f t="shared" si="30"/>
        <v>Dr. Eng. Muh. Anis Mustaghfirin, ST., MT.</v>
      </c>
      <c r="K119" s="145" t="str">
        <f t="shared" si="31"/>
        <v>197208051997021001</v>
      </c>
      <c r="L119" s="145" t="str">
        <f t="shared" si="32"/>
        <v>Penata Tingkat I / III/d</v>
      </c>
      <c r="M119" s="145" t="str">
        <f t="shared" si="33"/>
        <v>Wakil Direktur I</v>
      </c>
      <c r="N119" s="148">
        <v>119</v>
      </c>
    </row>
    <row r="120" spans="1:14" s="147" customFormat="1" ht="17.25" customHeight="1">
      <c r="A120" s="152" t="s">
        <v>287</v>
      </c>
      <c r="B120" s="145" t="s">
        <v>288</v>
      </c>
      <c r="C120" s="145" t="str">
        <f t="shared" si="34"/>
        <v>Penata Muda Tingkat I / III/b</v>
      </c>
      <c r="D120" s="149" t="s">
        <v>118</v>
      </c>
      <c r="E120" s="152" t="s">
        <v>142</v>
      </c>
      <c r="F120" s="154" t="s">
        <v>410</v>
      </c>
      <c r="G120" s="144" t="str">
        <f t="shared" si="27"/>
        <v>196910151995011001</v>
      </c>
      <c r="H120" s="144" t="str">
        <f t="shared" si="28"/>
        <v>Penata Tingkat I / III/d</v>
      </c>
      <c r="I120" s="150" t="str">
        <f t="shared" si="29"/>
        <v>Ketua Jurusan Teknik Bangunan Kapal</v>
      </c>
      <c r="J120" s="153" t="str">
        <f t="shared" si="30"/>
        <v>Dr. Eng. Muh. Anis Mustaghfirin, ST., MT.</v>
      </c>
      <c r="K120" s="145" t="str">
        <f t="shared" si="31"/>
        <v>197208051997021001</v>
      </c>
      <c r="L120" s="145" t="str">
        <f t="shared" si="32"/>
        <v>Penata Tingkat I / III/d</v>
      </c>
      <c r="M120" s="145" t="str">
        <f t="shared" si="33"/>
        <v>Wakil Direktur I</v>
      </c>
      <c r="N120" s="148">
        <v>120</v>
      </c>
    </row>
    <row r="121" spans="1:14" s="147" customFormat="1" ht="17.25" customHeight="1">
      <c r="A121" s="152" t="s">
        <v>496</v>
      </c>
      <c r="B121" s="145" t="s">
        <v>497</v>
      </c>
      <c r="C121" s="145" t="str">
        <f t="shared" si="34"/>
        <v>Penata Muda Tingkat I / III/b</v>
      </c>
      <c r="D121" s="149" t="s">
        <v>118</v>
      </c>
      <c r="E121" s="152" t="s">
        <v>136</v>
      </c>
      <c r="F121" s="154" t="s">
        <v>215</v>
      </c>
      <c r="G121" s="144" t="str">
        <f t="shared" si="27"/>
        <v>197605172009121003</v>
      </c>
      <c r="H121" s="144" t="str">
        <f t="shared" si="28"/>
        <v>Penata / III/c</v>
      </c>
      <c r="I121" s="150" t="str">
        <f t="shared" si="29"/>
        <v>Ketua Jurusan Teknik Permesinan Kapal</v>
      </c>
      <c r="J121" s="153" t="str">
        <f t="shared" si="30"/>
        <v>Dr. Eng. Muh. Anis Mustaghfirin, ST., MT.</v>
      </c>
      <c r="K121" s="145" t="str">
        <f t="shared" si="31"/>
        <v>197208051997021001</v>
      </c>
      <c r="L121" s="145" t="str">
        <f t="shared" si="32"/>
        <v>Penata Tingkat I / III/d</v>
      </c>
      <c r="M121" s="145" t="str">
        <f t="shared" si="33"/>
        <v>Wakil Direktur I</v>
      </c>
      <c r="N121" s="148">
        <v>121</v>
      </c>
    </row>
    <row r="122" spans="1:14" s="147" customFormat="1" ht="17.25" customHeight="1">
      <c r="A122" s="152" t="s">
        <v>289</v>
      </c>
      <c r="B122" s="145" t="s">
        <v>290</v>
      </c>
      <c r="C122" s="145" t="str">
        <f t="shared" si="34"/>
        <v>Penata / III/c</v>
      </c>
      <c r="D122" s="149" t="s">
        <v>117</v>
      </c>
      <c r="E122" s="152" t="s">
        <v>155</v>
      </c>
      <c r="F122" s="154" t="s">
        <v>398</v>
      </c>
      <c r="G122" s="144" t="str">
        <f t="shared" si="27"/>
        <v>196907131995011001</v>
      </c>
      <c r="H122" s="144" t="str">
        <f t="shared" si="28"/>
        <v>Penata Tingkat I / III/d</v>
      </c>
      <c r="I122" s="150" t="str">
        <f t="shared" si="29"/>
        <v>Ketua Jurusan Teknik Kelistrikan Kapal</v>
      </c>
      <c r="J122" s="153" t="str">
        <f t="shared" si="30"/>
        <v>Dr. Eng. Muh. Anis Mustaghfirin, ST., MT.</v>
      </c>
      <c r="K122" s="145" t="str">
        <f t="shared" si="31"/>
        <v>197208051997021001</v>
      </c>
      <c r="L122" s="145" t="str">
        <f t="shared" si="32"/>
        <v>Penata Tingkat I / III/d</v>
      </c>
      <c r="M122" s="145" t="str">
        <f t="shared" si="33"/>
        <v>Wakil Direktur I</v>
      </c>
      <c r="N122" s="148">
        <v>122</v>
      </c>
    </row>
    <row r="123" spans="1:14" s="147" customFormat="1" ht="17.25" customHeight="1">
      <c r="A123" s="152" t="s">
        <v>291</v>
      </c>
      <c r="B123" s="145" t="s">
        <v>292</v>
      </c>
      <c r="C123" s="145" t="str">
        <f t="shared" si="34"/>
        <v>Penata Tingkat I / III/d</v>
      </c>
      <c r="D123" s="149" t="s">
        <v>123</v>
      </c>
      <c r="E123" s="152" t="s">
        <v>155</v>
      </c>
      <c r="F123" s="154" t="s">
        <v>215</v>
      </c>
      <c r="G123" s="144" t="str">
        <f t="shared" si="27"/>
        <v>197605172009121003</v>
      </c>
      <c r="H123" s="144" t="str">
        <f t="shared" si="28"/>
        <v>Penata / III/c</v>
      </c>
      <c r="I123" s="150" t="str">
        <f t="shared" si="29"/>
        <v>Ketua Jurusan Teknik Permesinan Kapal</v>
      </c>
      <c r="J123" s="153" t="str">
        <f t="shared" si="30"/>
        <v>Dr. Eng. Muh. Anis Mustaghfirin, ST., MT.</v>
      </c>
      <c r="K123" s="145" t="str">
        <f t="shared" si="31"/>
        <v>197208051997021001</v>
      </c>
      <c r="L123" s="145" t="str">
        <f t="shared" si="32"/>
        <v>Penata Tingkat I / III/d</v>
      </c>
      <c r="M123" s="145" t="str">
        <f t="shared" si="33"/>
        <v>Wakil Direktur I</v>
      </c>
      <c r="N123" s="148">
        <v>123</v>
      </c>
    </row>
    <row r="124" spans="1:14" s="147" customFormat="1" ht="17.25" customHeight="1">
      <c r="A124" s="152" t="s">
        <v>293</v>
      </c>
      <c r="B124" s="145" t="s">
        <v>294</v>
      </c>
      <c r="C124" s="145" t="str">
        <f t="shared" si="34"/>
        <v>Penata Muda Tingkat I / III/b</v>
      </c>
      <c r="D124" s="149" t="s">
        <v>118</v>
      </c>
      <c r="E124" s="152" t="s">
        <v>142</v>
      </c>
      <c r="F124" s="154" t="s">
        <v>215</v>
      </c>
      <c r="G124" s="144" t="str">
        <f t="shared" si="27"/>
        <v>197605172009121003</v>
      </c>
      <c r="H124" s="144" t="str">
        <f t="shared" si="28"/>
        <v>Penata / III/c</v>
      </c>
      <c r="I124" s="150" t="str">
        <f t="shared" si="29"/>
        <v>Ketua Jurusan Teknik Permesinan Kapal</v>
      </c>
      <c r="J124" s="153" t="str">
        <f t="shared" si="30"/>
        <v>Dr. Eng. Muh. Anis Mustaghfirin, ST., MT.</v>
      </c>
      <c r="K124" s="145" t="str">
        <f t="shared" si="31"/>
        <v>197208051997021001</v>
      </c>
      <c r="L124" s="145" t="str">
        <f t="shared" si="32"/>
        <v>Penata Tingkat I / III/d</v>
      </c>
      <c r="M124" s="145" t="str">
        <f t="shared" si="33"/>
        <v>Wakil Direktur I</v>
      </c>
      <c r="N124" s="148">
        <v>124</v>
      </c>
    </row>
    <row r="125" spans="1:14" s="147" customFormat="1" ht="17.25" customHeight="1">
      <c r="A125" s="152" t="s">
        <v>295</v>
      </c>
      <c r="B125" s="145" t="s">
        <v>296</v>
      </c>
      <c r="C125" s="145" t="str">
        <f t="shared" si="34"/>
        <v>Penata Muda Tingkat I / III/b</v>
      </c>
      <c r="D125" s="149" t="s">
        <v>118</v>
      </c>
      <c r="E125" s="152" t="s">
        <v>142</v>
      </c>
      <c r="F125" s="154" t="s">
        <v>215</v>
      </c>
      <c r="G125" s="144" t="str">
        <f t="shared" si="27"/>
        <v>197605172009121003</v>
      </c>
      <c r="H125" s="144" t="str">
        <f t="shared" si="28"/>
        <v>Penata / III/c</v>
      </c>
      <c r="I125" s="150" t="str">
        <f t="shared" si="29"/>
        <v>Ketua Jurusan Teknik Permesinan Kapal</v>
      </c>
      <c r="J125" s="153" t="str">
        <f t="shared" si="30"/>
        <v>Dr. Eng. Muh. Anis Mustaghfirin, ST., MT.</v>
      </c>
      <c r="K125" s="145" t="str">
        <f t="shared" si="31"/>
        <v>197208051997021001</v>
      </c>
      <c r="L125" s="145" t="str">
        <f t="shared" si="32"/>
        <v>Penata Tingkat I / III/d</v>
      </c>
      <c r="M125" s="145" t="str">
        <f t="shared" si="33"/>
        <v>Wakil Direktur I</v>
      </c>
      <c r="N125" s="148">
        <v>125</v>
      </c>
    </row>
    <row r="126" spans="1:14" s="147" customFormat="1" ht="17.25" customHeight="1">
      <c r="A126" s="152" t="s">
        <v>297</v>
      </c>
      <c r="B126" s="145" t="s">
        <v>298</v>
      </c>
      <c r="C126" s="145" t="str">
        <f t="shared" si="34"/>
        <v>Penata Muda Tingkat I / III/b</v>
      </c>
      <c r="D126" s="149" t="s">
        <v>118</v>
      </c>
      <c r="E126" s="152" t="s">
        <v>142</v>
      </c>
      <c r="F126" s="154" t="s">
        <v>215</v>
      </c>
      <c r="G126" s="144" t="str">
        <f t="shared" si="27"/>
        <v>197605172009121003</v>
      </c>
      <c r="H126" s="144" t="str">
        <f t="shared" si="28"/>
        <v>Penata / III/c</v>
      </c>
      <c r="I126" s="150" t="str">
        <f t="shared" si="29"/>
        <v>Ketua Jurusan Teknik Permesinan Kapal</v>
      </c>
      <c r="J126" s="153" t="str">
        <f t="shared" si="30"/>
        <v>Dr. Eng. Muh. Anis Mustaghfirin, ST., MT.</v>
      </c>
      <c r="K126" s="145" t="str">
        <f t="shared" si="31"/>
        <v>197208051997021001</v>
      </c>
      <c r="L126" s="145" t="str">
        <f t="shared" si="32"/>
        <v>Penata Tingkat I / III/d</v>
      </c>
      <c r="M126" s="145" t="str">
        <f t="shared" si="33"/>
        <v>Wakil Direktur I</v>
      </c>
      <c r="N126" s="148">
        <v>126</v>
      </c>
    </row>
    <row r="127" spans="1:14" s="147" customFormat="1" ht="17.25" customHeight="1">
      <c r="A127" s="152" t="s">
        <v>299</v>
      </c>
      <c r="B127" s="145" t="s">
        <v>300</v>
      </c>
      <c r="C127" s="145" t="str">
        <f t="shared" si="34"/>
        <v>Penata Muda Tingkat I / III/b</v>
      </c>
      <c r="D127" s="149" t="s">
        <v>118</v>
      </c>
      <c r="E127" s="152" t="s">
        <v>142</v>
      </c>
      <c r="F127" s="154" t="s">
        <v>215</v>
      </c>
      <c r="G127" s="144" t="str">
        <f t="shared" si="27"/>
        <v>197605172009121003</v>
      </c>
      <c r="H127" s="144" t="str">
        <f t="shared" si="28"/>
        <v>Penata / III/c</v>
      </c>
      <c r="I127" s="150" t="str">
        <f t="shared" si="29"/>
        <v>Ketua Jurusan Teknik Permesinan Kapal</v>
      </c>
      <c r="J127" s="153" t="str">
        <f t="shared" si="30"/>
        <v>Dr. Eng. Muh. Anis Mustaghfirin, ST., MT.</v>
      </c>
      <c r="K127" s="145" t="str">
        <f t="shared" si="31"/>
        <v>197208051997021001</v>
      </c>
      <c r="L127" s="145" t="str">
        <f t="shared" si="32"/>
        <v>Penata Tingkat I / III/d</v>
      </c>
      <c r="M127" s="145" t="str">
        <f t="shared" si="33"/>
        <v>Wakil Direktur I</v>
      </c>
      <c r="N127" s="148">
        <v>127</v>
      </c>
    </row>
    <row r="128" spans="1:14" s="147" customFormat="1" ht="17.25" customHeight="1">
      <c r="A128" s="152" t="s">
        <v>301</v>
      </c>
      <c r="B128" s="145" t="s">
        <v>302</v>
      </c>
      <c r="C128" s="145" t="str">
        <f t="shared" si="34"/>
        <v>Penata / III/c</v>
      </c>
      <c r="D128" s="149" t="s">
        <v>117</v>
      </c>
      <c r="E128" s="152" t="s">
        <v>155</v>
      </c>
      <c r="F128" s="154" t="s">
        <v>398</v>
      </c>
      <c r="G128" s="144" t="str">
        <f t="shared" si="27"/>
        <v>196907131995011001</v>
      </c>
      <c r="H128" s="144" t="str">
        <f t="shared" si="28"/>
        <v>Penata Tingkat I / III/d</v>
      </c>
      <c r="I128" s="150" t="str">
        <f t="shared" si="29"/>
        <v>Ketua Jurusan Teknik Kelistrikan Kapal</v>
      </c>
      <c r="J128" s="153" t="str">
        <f t="shared" si="30"/>
        <v>Dr. Eng. Muh. Anis Mustaghfirin, ST., MT.</v>
      </c>
      <c r="K128" s="145" t="str">
        <f t="shared" si="31"/>
        <v>197208051997021001</v>
      </c>
      <c r="L128" s="145" t="str">
        <f t="shared" si="32"/>
        <v>Penata Tingkat I / III/d</v>
      </c>
      <c r="M128" s="145" t="str">
        <f t="shared" si="33"/>
        <v>Wakil Direktur I</v>
      </c>
      <c r="N128" s="148">
        <v>128</v>
      </c>
    </row>
    <row r="129" spans="1:14" s="147" customFormat="1" ht="17.25" customHeight="1">
      <c r="A129" s="152" t="s">
        <v>303</v>
      </c>
      <c r="B129" s="145" t="s">
        <v>304</v>
      </c>
      <c r="C129" s="145" t="str">
        <f t="shared" si="34"/>
        <v>Penata Tingkat I / III/d</v>
      </c>
      <c r="D129" s="149" t="s">
        <v>123</v>
      </c>
      <c r="E129" s="152" t="s">
        <v>155</v>
      </c>
      <c r="F129" s="154" t="s">
        <v>215</v>
      </c>
      <c r="G129" s="144" t="str">
        <f t="shared" si="27"/>
        <v>197605172009121003</v>
      </c>
      <c r="H129" s="144" t="str">
        <f t="shared" si="28"/>
        <v>Penata / III/c</v>
      </c>
      <c r="I129" s="150" t="str">
        <f t="shared" si="29"/>
        <v>Ketua Jurusan Teknik Permesinan Kapal</v>
      </c>
      <c r="J129" s="153" t="str">
        <f t="shared" si="30"/>
        <v>Dr. Eng. Muh. Anis Mustaghfirin, ST., MT.</v>
      </c>
      <c r="K129" s="145" t="str">
        <f t="shared" si="31"/>
        <v>197208051997021001</v>
      </c>
      <c r="L129" s="145" t="str">
        <f t="shared" si="32"/>
        <v>Penata Tingkat I / III/d</v>
      </c>
      <c r="M129" s="145" t="str">
        <f t="shared" si="33"/>
        <v>Wakil Direktur I</v>
      </c>
      <c r="N129" s="148">
        <v>129</v>
      </c>
    </row>
    <row r="130" spans="1:14" s="147" customFormat="1" ht="17.25" customHeight="1">
      <c r="A130" s="152" t="s">
        <v>429</v>
      </c>
      <c r="B130" s="145" t="s">
        <v>305</v>
      </c>
      <c r="C130" s="145" t="str">
        <f t="shared" ref="C130:C161" si="35">IF(D130="II/a","Pengatur Muda / II/a",IF(D130="II/b","Pengatur Muda Tingkat I  / II/b",IF(D130="II/c","Pengatur / II/c",IF(D130="II/d","Pengatur Tingkat I / II/d",IF(D130="III/a","Penata Muda / III/a",IF(D130="III/b","Penata Muda Tingkat I / III/b",IF(D130="III/c","Penata / III/c",IF(D130="III/d","Penata Tingkat I / III/d",IF(D130="IV/a","Pembina / IV/a",IF(D130="IV/b","Pembina Tingkat I / IV/b",IF(D130="IV/c","Pembina Utama Muda / IV/c",IF(D130="IV/d","Pembina Utama Madya / IV/d"))))))))))))</f>
        <v>Penata Muda Tingkat I / III/b</v>
      </c>
      <c r="D130" s="149" t="s">
        <v>118</v>
      </c>
      <c r="E130" s="152" t="s">
        <v>142</v>
      </c>
      <c r="F130" s="154" t="s">
        <v>410</v>
      </c>
      <c r="G130" s="144" t="str">
        <f t="shared" si="27"/>
        <v>196910151995011001</v>
      </c>
      <c r="H130" s="144" t="str">
        <f t="shared" ref="H130" si="36">VLOOKUP(F130,$P$2:$W$28,3,FALSE)</f>
        <v>Penata Tingkat I / III/d</v>
      </c>
      <c r="I130" s="150" t="str">
        <f t="shared" ref="I130" si="37">VLOOKUP(F130,$P$2:$W$28,4,FALSE)</f>
        <v>Ketua Jurusan Teknik Bangunan Kapal</v>
      </c>
      <c r="J130" s="153" t="str">
        <f t="shared" ref="J130" si="38">VLOOKUP(F130,$P$2:$W$28,5,FALSE)</f>
        <v>Dr. Eng. Muh. Anis Mustaghfirin, ST., MT.</v>
      </c>
      <c r="K130" s="145" t="str">
        <f t="shared" ref="K130" si="39">VLOOKUP(F130,$P$2:$W$28,6,FALSE)</f>
        <v>197208051997021001</v>
      </c>
      <c r="L130" s="145" t="str">
        <f t="shared" ref="L130" si="40">VLOOKUP(F130,$P$2:$W$28,7,FALSE)</f>
        <v>Penata Tingkat I / III/d</v>
      </c>
      <c r="M130" s="145" t="str">
        <f t="shared" ref="M130" si="41">VLOOKUP(F130,$P$2:$W$28,8,FALSE)</f>
        <v>Wakil Direktur I</v>
      </c>
      <c r="N130" s="148">
        <v>130</v>
      </c>
    </row>
    <row r="131" spans="1:14" s="147" customFormat="1" ht="17.25" customHeight="1">
      <c r="A131" s="152" t="s">
        <v>307</v>
      </c>
      <c r="B131" s="145" t="s">
        <v>308</v>
      </c>
      <c r="C131" s="145" t="str">
        <f t="shared" si="35"/>
        <v>Pembina / IV/a</v>
      </c>
      <c r="D131" s="149" t="s">
        <v>130</v>
      </c>
      <c r="E131" s="152" t="s">
        <v>164</v>
      </c>
      <c r="F131" s="154" t="s">
        <v>215</v>
      </c>
      <c r="G131" s="144" t="str">
        <f t="shared" si="27"/>
        <v>197605172009121003</v>
      </c>
      <c r="H131" s="144" t="str">
        <f t="shared" si="28"/>
        <v>Penata / III/c</v>
      </c>
      <c r="I131" s="150" t="str">
        <f t="shared" si="29"/>
        <v>Ketua Jurusan Teknik Permesinan Kapal</v>
      </c>
      <c r="J131" s="153" t="str">
        <f t="shared" si="30"/>
        <v>Dr. Eng. Muh. Anis Mustaghfirin, ST., MT.</v>
      </c>
      <c r="K131" s="145" t="str">
        <f t="shared" si="31"/>
        <v>197208051997021001</v>
      </c>
      <c r="L131" s="145" t="str">
        <f t="shared" si="32"/>
        <v>Penata Tingkat I / III/d</v>
      </c>
      <c r="M131" s="145" t="str">
        <f t="shared" si="33"/>
        <v>Wakil Direktur I</v>
      </c>
      <c r="N131" s="148">
        <v>131</v>
      </c>
    </row>
    <row r="132" spans="1:14" s="147" customFormat="1" ht="17.25" customHeight="1">
      <c r="A132" s="152" t="s">
        <v>310</v>
      </c>
      <c r="B132" s="145" t="s">
        <v>311</v>
      </c>
      <c r="C132" s="145" t="str">
        <f t="shared" si="35"/>
        <v>Penata / III/c</v>
      </c>
      <c r="D132" s="149" t="s">
        <v>117</v>
      </c>
      <c r="E132" s="152" t="s">
        <v>155</v>
      </c>
      <c r="F132" s="154" t="s">
        <v>398</v>
      </c>
      <c r="G132" s="144" t="str">
        <f t="shared" si="27"/>
        <v>196907131995011001</v>
      </c>
      <c r="H132" s="144" t="str">
        <f t="shared" si="28"/>
        <v>Penata Tingkat I / III/d</v>
      </c>
      <c r="I132" s="150" t="str">
        <f t="shared" si="29"/>
        <v>Ketua Jurusan Teknik Kelistrikan Kapal</v>
      </c>
      <c r="J132" s="153" t="str">
        <f t="shared" si="30"/>
        <v>Dr. Eng. Muh. Anis Mustaghfirin, ST., MT.</v>
      </c>
      <c r="K132" s="145" t="str">
        <f t="shared" si="31"/>
        <v>197208051997021001</v>
      </c>
      <c r="L132" s="145" t="str">
        <f t="shared" si="32"/>
        <v>Penata Tingkat I / III/d</v>
      </c>
      <c r="M132" s="145" t="str">
        <f t="shared" si="33"/>
        <v>Wakil Direktur I</v>
      </c>
      <c r="N132" s="148">
        <v>132</v>
      </c>
    </row>
    <row r="133" spans="1:14" s="147" customFormat="1" ht="17.25" customHeight="1">
      <c r="A133" s="152" t="s">
        <v>313</v>
      </c>
      <c r="B133" s="145" t="s">
        <v>314</v>
      </c>
      <c r="C133" s="145" t="str">
        <f t="shared" si="35"/>
        <v>Penata Muda Tingkat I / III/b</v>
      </c>
      <c r="D133" s="149" t="s">
        <v>118</v>
      </c>
      <c r="E133" s="152" t="s">
        <v>142</v>
      </c>
      <c r="F133" s="154" t="s">
        <v>410</v>
      </c>
      <c r="G133" s="144" t="str">
        <f t="shared" si="27"/>
        <v>196910151995011001</v>
      </c>
      <c r="H133" s="144" t="str">
        <f t="shared" si="28"/>
        <v>Penata Tingkat I / III/d</v>
      </c>
      <c r="I133" s="150" t="str">
        <f t="shared" si="29"/>
        <v>Ketua Jurusan Teknik Bangunan Kapal</v>
      </c>
      <c r="J133" s="153" t="str">
        <f t="shared" si="30"/>
        <v>Dr. Eng. Muh. Anis Mustaghfirin, ST., MT.</v>
      </c>
      <c r="K133" s="145" t="str">
        <f t="shared" si="31"/>
        <v>197208051997021001</v>
      </c>
      <c r="L133" s="145" t="str">
        <f t="shared" si="32"/>
        <v>Penata Tingkat I / III/d</v>
      </c>
      <c r="M133" s="145" t="str">
        <f t="shared" si="33"/>
        <v>Wakil Direktur I</v>
      </c>
      <c r="N133" s="148">
        <v>133</v>
      </c>
    </row>
    <row r="134" spans="1:14" s="147" customFormat="1" ht="17.25" customHeight="1">
      <c r="A134" s="152" t="s">
        <v>315</v>
      </c>
      <c r="B134" s="145" t="s">
        <v>316</v>
      </c>
      <c r="C134" s="145" t="str">
        <f t="shared" si="35"/>
        <v>Pembina / IV/a</v>
      </c>
      <c r="D134" s="149" t="s">
        <v>130</v>
      </c>
      <c r="E134" s="152" t="s">
        <v>164</v>
      </c>
      <c r="F134" s="154" t="s">
        <v>410</v>
      </c>
      <c r="G134" s="144" t="str">
        <f t="shared" si="27"/>
        <v>196910151995011001</v>
      </c>
      <c r="H134" s="144" t="str">
        <f t="shared" si="28"/>
        <v>Penata Tingkat I / III/d</v>
      </c>
      <c r="I134" s="150" t="str">
        <f t="shared" si="29"/>
        <v>Ketua Jurusan Teknik Bangunan Kapal</v>
      </c>
      <c r="J134" s="153" t="str">
        <f t="shared" si="30"/>
        <v>Dr. Eng. Muh. Anis Mustaghfirin, ST., MT.</v>
      </c>
      <c r="K134" s="145" t="str">
        <f t="shared" si="31"/>
        <v>197208051997021001</v>
      </c>
      <c r="L134" s="145" t="str">
        <f t="shared" si="32"/>
        <v>Penata Tingkat I / III/d</v>
      </c>
      <c r="M134" s="145" t="str">
        <f t="shared" si="33"/>
        <v>Wakil Direktur I</v>
      </c>
      <c r="N134" s="148">
        <v>134</v>
      </c>
    </row>
    <row r="135" spans="1:14" s="147" customFormat="1" ht="17.25" customHeight="1">
      <c r="A135" s="152" t="s">
        <v>418</v>
      </c>
      <c r="B135" s="145" t="s">
        <v>312</v>
      </c>
      <c r="C135" s="145" t="str">
        <f t="shared" si="35"/>
        <v>Penata Tingkat I / III/d</v>
      </c>
      <c r="D135" s="149" t="s">
        <v>123</v>
      </c>
      <c r="E135" s="152" t="s">
        <v>155</v>
      </c>
      <c r="F135" s="154" t="s">
        <v>215</v>
      </c>
      <c r="G135" s="144" t="str">
        <f t="shared" si="27"/>
        <v>197605172009121003</v>
      </c>
      <c r="H135" s="144" t="str">
        <f t="shared" si="28"/>
        <v>Penata / III/c</v>
      </c>
      <c r="I135" s="150" t="str">
        <f t="shared" si="29"/>
        <v>Ketua Jurusan Teknik Permesinan Kapal</v>
      </c>
      <c r="J135" s="153" t="str">
        <f t="shared" si="30"/>
        <v>Dr. Eng. Muh. Anis Mustaghfirin, ST., MT.</v>
      </c>
      <c r="K135" s="145" t="str">
        <f t="shared" si="31"/>
        <v>197208051997021001</v>
      </c>
      <c r="L135" s="145" t="str">
        <f t="shared" si="32"/>
        <v>Penata Tingkat I / III/d</v>
      </c>
      <c r="M135" s="145" t="str">
        <f t="shared" si="33"/>
        <v>Wakil Direktur I</v>
      </c>
      <c r="N135" s="148">
        <v>135</v>
      </c>
    </row>
    <row r="136" spans="1:14" s="147" customFormat="1" ht="17.25" customHeight="1">
      <c r="A136" s="152" t="s">
        <v>419</v>
      </c>
      <c r="B136" s="145" t="s">
        <v>423</v>
      </c>
      <c r="C136" s="145" t="str">
        <f t="shared" si="35"/>
        <v>Penata / III/c</v>
      </c>
      <c r="D136" s="149" t="s">
        <v>117</v>
      </c>
      <c r="E136" s="152" t="s">
        <v>155</v>
      </c>
      <c r="F136" s="154" t="s">
        <v>410</v>
      </c>
      <c r="G136" s="144" t="str">
        <f t="shared" si="27"/>
        <v>196910151995011001</v>
      </c>
      <c r="H136" s="144" t="str">
        <f t="shared" si="28"/>
        <v>Penata Tingkat I / III/d</v>
      </c>
      <c r="I136" s="150" t="str">
        <f t="shared" si="29"/>
        <v>Ketua Jurusan Teknik Bangunan Kapal</v>
      </c>
      <c r="J136" s="153" t="str">
        <f t="shared" si="30"/>
        <v>Dr. Eng. Muh. Anis Mustaghfirin, ST., MT.</v>
      </c>
      <c r="K136" s="145" t="str">
        <f t="shared" si="31"/>
        <v>197208051997021001</v>
      </c>
      <c r="L136" s="145" t="str">
        <f t="shared" si="32"/>
        <v>Penata Tingkat I / III/d</v>
      </c>
      <c r="M136" s="145" t="str">
        <f t="shared" si="33"/>
        <v>Wakil Direktur I</v>
      </c>
      <c r="N136" s="148">
        <v>136</v>
      </c>
    </row>
    <row r="137" spans="1:14" s="147" customFormat="1" ht="17.25" customHeight="1">
      <c r="A137" s="152" t="s">
        <v>435</v>
      </c>
      <c r="B137" s="145" t="s">
        <v>466</v>
      </c>
      <c r="C137" s="145" t="str">
        <f t="shared" si="35"/>
        <v>Penata Muda Tingkat I / III/b</v>
      </c>
      <c r="D137" s="149" t="s">
        <v>118</v>
      </c>
      <c r="E137" s="152" t="s">
        <v>136</v>
      </c>
      <c r="F137" s="154" t="s">
        <v>410</v>
      </c>
      <c r="G137" s="144" t="str">
        <f t="shared" si="27"/>
        <v>196910151995011001</v>
      </c>
      <c r="H137" s="144" t="str">
        <f t="shared" si="28"/>
        <v>Penata Tingkat I / III/d</v>
      </c>
      <c r="I137" s="150" t="str">
        <f t="shared" si="29"/>
        <v>Ketua Jurusan Teknik Bangunan Kapal</v>
      </c>
      <c r="J137" s="153" t="str">
        <f t="shared" si="30"/>
        <v>Dr. Eng. Muh. Anis Mustaghfirin, ST., MT.</v>
      </c>
      <c r="K137" s="145" t="str">
        <f t="shared" si="31"/>
        <v>197208051997021001</v>
      </c>
      <c r="L137" s="145" t="str">
        <f t="shared" si="32"/>
        <v>Penata Tingkat I / III/d</v>
      </c>
      <c r="M137" s="145" t="str">
        <f t="shared" si="33"/>
        <v>Wakil Direktur I</v>
      </c>
      <c r="N137" s="148">
        <v>137</v>
      </c>
    </row>
    <row r="138" spans="1:14" s="147" customFormat="1" ht="17.25" customHeight="1">
      <c r="A138" s="152" t="s">
        <v>317</v>
      </c>
      <c r="B138" s="145" t="s">
        <v>318</v>
      </c>
      <c r="C138" s="145" t="str">
        <f t="shared" si="35"/>
        <v>Penata / III/c</v>
      </c>
      <c r="D138" s="149" t="s">
        <v>117</v>
      </c>
      <c r="E138" s="152" t="s">
        <v>155</v>
      </c>
      <c r="F138" s="154" t="s">
        <v>215</v>
      </c>
      <c r="G138" s="144" t="str">
        <f t="shared" si="27"/>
        <v>197605172009121003</v>
      </c>
      <c r="H138" s="144" t="str">
        <f t="shared" si="28"/>
        <v>Penata / III/c</v>
      </c>
      <c r="I138" s="150" t="str">
        <f t="shared" si="29"/>
        <v>Ketua Jurusan Teknik Permesinan Kapal</v>
      </c>
      <c r="J138" s="153" t="str">
        <f t="shared" si="30"/>
        <v>Dr. Eng. Muh. Anis Mustaghfirin, ST., MT.</v>
      </c>
      <c r="K138" s="145" t="str">
        <f t="shared" si="31"/>
        <v>197208051997021001</v>
      </c>
      <c r="L138" s="145" t="str">
        <f t="shared" si="32"/>
        <v>Penata Tingkat I / III/d</v>
      </c>
      <c r="M138" s="145" t="str">
        <f t="shared" si="33"/>
        <v>Wakil Direktur I</v>
      </c>
      <c r="N138" s="148">
        <v>138</v>
      </c>
    </row>
    <row r="139" spans="1:14" s="147" customFormat="1" ht="17.25" customHeight="1">
      <c r="A139" s="152" t="s">
        <v>319</v>
      </c>
      <c r="B139" s="145" t="s">
        <v>320</v>
      </c>
      <c r="C139" s="145" t="str">
        <f t="shared" si="35"/>
        <v>Penata Tingkat I / III/d</v>
      </c>
      <c r="D139" s="149" t="s">
        <v>123</v>
      </c>
      <c r="E139" s="152" t="s">
        <v>155</v>
      </c>
      <c r="F139" s="154" t="s">
        <v>398</v>
      </c>
      <c r="G139" s="144" t="str">
        <f t="shared" si="27"/>
        <v>196907131995011001</v>
      </c>
      <c r="H139" s="144" t="str">
        <f t="shared" si="28"/>
        <v>Penata Tingkat I / III/d</v>
      </c>
      <c r="I139" s="150" t="str">
        <f t="shared" si="29"/>
        <v>Ketua Jurusan Teknik Kelistrikan Kapal</v>
      </c>
      <c r="J139" s="153" t="str">
        <f t="shared" si="30"/>
        <v>Dr. Eng. Muh. Anis Mustaghfirin, ST., MT.</v>
      </c>
      <c r="K139" s="145" t="str">
        <f t="shared" si="31"/>
        <v>197208051997021001</v>
      </c>
      <c r="L139" s="145" t="str">
        <f t="shared" si="32"/>
        <v>Penata Tingkat I / III/d</v>
      </c>
      <c r="M139" s="145" t="str">
        <f t="shared" si="33"/>
        <v>Wakil Direktur I</v>
      </c>
      <c r="N139" s="148">
        <v>139</v>
      </c>
    </row>
    <row r="140" spans="1:14" s="147" customFormat="1" ht="17.25" customHeight="1">
      <c r="A140" s="152" t="s">
        <v>321</v>
      </c>
      <c r="B140" s="145" t="s">
        <v>322</v>
      </c>
      <c r="C140" s="145" t="str">
        <f t="shared" si="35"/>
        <v>Penata Muda Tingkat I / III/b</v>
      </c>
      <c r="D140" s="149" t="s">
        <v>118</v>
      </c>
      <c r="E140" s="152" t="s">
        <v>142</v>
      </c>
      <c r="F140" s="154" t="s">
        <v>410</v>
      </c>
      <c r="G140" s="144" t="str">
        <f t="shared" ref="G140:G161" si="42">VLOOKUP(F140,$P$2:$W$28,2,FALSE)</f>
        <v>196910151995011001</v>
      </c>
      <c r="H140" s="144" t="str">
        <f t="shared" ref="H140:H161" si="43">VLOOKUP(F140,$P$2:$W$28,3,FALSE)</f>
        <v>Penata Tingkat I / III/d</v>
      </c>
      <c r="I140" s="150" t="str">
        <f t="shared" ref="I140:I161" si="44">VLOOKUP(F140,$P$2:$W$28,4,FALSE)</f>
        <v>Ketua Jurusan Teknik Bangunan Kapal</v>
      </c>
      <c r="J140" s="153" t="str">
        <f t="shared" ref="J140:J161" si="45">VLOOKUP(F140,$P$2:$W$28,5,FALSE)</f>
        <v>Dr. Eng. Muh. Anis Mustaghfirin, ST., MT.</v>
      </c>
      <c r="K140" s="145" t="str">
        <f t="shared" ref="K140:K161" si="46">VLOOKUP(F140,$P$2:$W$28,6,FALSE)</f>
        <v>197208051997021001</v>
      </c>
      <c r="L140" s="145" t="str">
        <f t="shared" ref="L140:L161" si="47">VLOOKUP(F140,$P$2:$W$28,7,FALSE)</f>
        <v>Penata Tingkat I / III/d</v>
      </c>
      <c r="M140" s="145" t="str">
        <f t="shared" ref="M140:M161" si="48">VLOOKUP(F140,$P$2:$W$28,8,FALSE)</f>
        <v>Wakil Direktur I</v>
      </c>
      <c r="N140" s="148">
        <v>140</v>
      </c>
    </row>
    <row r="141" spans="1:14" s="147" customFormat="1" ht="17.25" customHeight="1">
      <c r="A141" s="152" t="s">
        <v>440</v>
      </c>
      <c r="B141" s="145" t="s">
        <v>471</v>
      </c>
      <c r="C141" s="145" t="str">
        <f t="shared" si="35"/>
        <v>Penata Muda Tingkat I / III/b</v>
      </c>
      <c r="D141" s="149" t="s">
        <v>118</v>
      </c>
      <c r="E141" s="152" t="s">
        <v>136</v>
      </c>
      <c r="F141" s="154" t="s">
        <v>215</v>
      </c>
      <c r="G141" s="144" t="str">
        <f t="shared" si="42"/>
        <v>197605172009121003</v>
      </c>
      <c r="H141" s="144" t="str">
        <f t="shared" si="43"/>
        <v>Penata / III/c</v>
      </c>
      <c r="I141" s="150" t="str">
        <f t="shared" si="44"/>
        <v>Ketua Jurusan Teknik Permesinan Kapal</v>
      </c>
      <c r="J141" s="153" t="str">
        <f t="shared" si="45"/>
        <v>Dr. Eng. Muh. Anis Mustaghfirin, ST., MT.</v>
      </c>
      <c r="K141" s="145" t="str">
        <f t="shared" si="46"/>
        <v>197208051997021001</v>
      </c>
      <c r="L141" s="145" t="str">
        <f t="shared" si="47"/>
        <v>Penata Tingkat I / III/d</v>
      </c>
      <c r="M141" s="145" t="str">
        <f t="shared" si="48"/>
        <v>Wakil Direktur I</v>
      </c>
      <c r="N141" s="148">
        <v>141</v>
      </c>
    </row>
    <row r="142" spans="1:14" s="147" customFormat="1" ht="17.25" customHeight="1">
      <c r="A142" s="152" t="s">
        <v>459</v>
      </c>
      <c r="B142" s="145" t="s">
        <v>490</v>
      </c>
      <c r="C142" s="145" t="str">
        <f t="shared" si="35"/>
        <v>Penata Muda Tingkat I / III/b</v>
      </c>
      <c r="D142" s="149" t="s">
        <v>118</v>
      </c>
      <c r="E142" s="152" t="s">
        <v>136</v>
      </c>
      <c r="F142" s="154" t="s">
        <v>410</v>
      </c>
      <c r="G142" s="144" t="str">
        <f t="shared" si="42"/>
        <v>196910151995011001</v>
      </c>
      <c r="H142" s="144" t="str">
        <f t="shared" si="43"/>
        <v>Penata Tingkat I / III/d</v>
      </c>
      <c r="I142" s="150" t="str">
        <f t="shared" si="44"/>
        <v>Ketua Jurusan Teknik Bangunan Kapal</v>
      </c>
      <c r="J142" s="153" t="str">
        <f t="shared" si="45"/>
        <v>Dr. Eng. Muh. Anis Mustaghfirin, ST., MT.</v>
      </c>
      <c r="K142" s="145" t="str">
        <f t="shared" si="46"/>
        <v>197208051997021001</v>
      </c>
      <c r="L142" s="145" t="str">
        <f t="shared" si="47"/>
        <v>Penata Tingkat I / III/d</v>
      </c>
      <c r="M142" s="145" t="str">
        <f t="shared" si="48"/>
        <v>Wakil Direktur I</v>
      </c>
      <c r="N142" s="148">
        <v>143</v>
      </c>
    </row>
    <row r="143" spans="1:14" s="147" customFormat="1" ht="17.25" customHeight="1">
      <c r="A143" s="152" t="s">
        <v>323</v>
      </c>
      <c r="B143" s="145" t="s">
        <v>324</v>
      </c>
      <c r="C143" s="145" t="str">
        <f t="shared" si="35"/>
        <v>Penata Tingkat I / III/d</v>
      </c>
      <c r="D143" s="149" t="s">
        <v>123</v>
      </c>
      <c r="E143" s="152" t="s">
        <v>155</v>
      </c>
      <c r="F143" s="154" t="s">
        <v>398</v>
      </c>
      <c r="G143" s="144" t="str">
        <f t="shared" si="42"/>
        <v>196907131995011001</v>
      </c>
      <c r="H143" s="144" t="str">
        <f t="shared" si="43"/>
        <v>Penata Tingkat I / III/d</v>
      </c>
      <c r="I143" s="150" t="str">
        <f t="shared" si="44"/>
        <v>Ketua Jurusan Teknik Kelistrikan Kapal</v>
      </c>
      <c r="J143" s="153" t="str">
        <f t="shared" si="45"/>
        <v>Dr. Eng. Muh. Anis Mustaghfirin, ST., MT.</v>
      </c>
      <c r="K143" s="145" t="str">
        <f t="shared" si="46"/>
        <v>197208051997021001</v>
      </c>
      <c r="L143" s="145" t="str">
        <f t="shared" si="47"/>
        <v>Penata Tingkat I / III/d</v>
      </c>
      <c r="M143" s="145" t="str">
        <f t="shared" si="48"/>
        <v>Wakil Direktur I</v>
      </c>
      <c r="N143" s="148">
        <v>144</v>
      </c>
    </row>
    <row r="144" spans="1:14" s="147" customFormat="1" ht="17.25" customHeight="1">
      <c r="A144" s="152" t="s">
        <v>410</v>
      </c>
      <c r="B144" s="145" t="s">
        <v>325</v>
      </c>
      <c r="C144" s="145" t="str">
        <f t="shared" si="35"/>
        <v>Penata Tingkat I / III/d</v>
      </c>
      <c r="D144" s="149" t="s">
        <v>123</v>
      </c>
      <c r="E144" s="152" t="s">
        <v>155</v>
      </c>
      <c r="F144" s="154" t="s">
        <v>424</v>
      </c>
      <c r="G144" s="144" t="str">
        <f t="shared" si="42"/>
        <v>197208051997021001</v>
      </c>
      <c r="H144" s="144" t="str">
        <f t="shared" si="43"/>
        <v>Penata Tingkat I / III/d</v>
      </c>
      <c r="I144" s="150" t="str">
        <f t="shared" si="44"/>
        <v>Wakil Direktur I</v>
      </c>
      <c r="J144" s="153" t="str">
        <f t="shared" si="45"/>
        <v>Ir. Eko Julianto, M.Sc., FRINA</v>
      </c>
      <c r="K144" s="145" t="str">
        <f t="shared" si="46"/>
        <v>196501231991031002</v>
      </c>
      <c r="L144" s="145" t="str">
        <f t="shared" si="47"/>
        <v>Pembina Tingkat I / IV/b</v>
      </c>
      <c r="M144" s="145" t="str">
        <f t="shared" si="48"/>
        <v>Direktur</v>
      </c>
      <c r="N144" s="148">
        <v>145</v>
      </c>
    </row>
    <row r="145" spans="1:14" s="147" customFormat="1" ht="17.25" customHeight="1">
      <c r="A145" s="152" t="s">
        <v>456</v>
      </c>
      <c r="B145" s="145" t="s">
        <v>487</v>
      </c>
      <c r="C145" s="145" t="str">
        <f t="shared" si="35"/>
        <v>Penata Muda Tingkat I / III/b</v>
      </c>
      <c r="D145" s="149" t="s">
        <v>118</v>
      </c>
      <c r="E145" s="152" t="s">
        <v>136</v>
      </c>
      <c r="F145" s="154" t="s">
        <v>398</v>
      </c>
      <c r="G145" s="144" t="str">
        <f t="shared" si="42"/>
        <v>196907131995011001</v>
      </c>
      <c r="H145" s="144" t="str">
        <f t="shared" si="43"/>
        <v>Penata Tingkat I / III/d</v>
      </c>
      <c r="I145" s="150" t="str">
        <f t="shared" si="44"/>
        <v>Ketua Jurusan Teknik Kelistrikan Kapal</v>
      </c>
      <c r="J145" s="153" t="str">
        <f t="shared" si="45"/>
        <v>Dr. Eng. Muh. Anis Mustaghfirin, ST., MT.</v>
      </c>
      <c r="K145" s="145" t="str">
        <f t="shared" si="46"/>
        <v>197208051997021001</v>
      </c>
      <c r="L145" s="145" t="str">
        <f t="shared" si="47"/>
        <v>Penata Tingkat I / III/d</v>
      </c>
      <c r="M145" s="145" t="str">
        <f t="shared" si="48"/>
        <v>Wakil Direktur I</v>
      </c>
      <c r="N145" s="148">
        <v>146</v>
      </c>
    </row>
    <row r="146" spans="1:14" s="147" customFormat="1" ht="17.25" customHeight="1">
      <c r="A146" s="152" t="s">
        <v>326</v>
      </c>
      <c r="B146" s="145" t="s">
        <v>327</v>
      </c>
      <c r="C146" s="145" t="str">
        <f t="shared" si="35"/>
        <v>Penata Muda Tingkat I / III/b</v>
      </c>
      <c r="D146" s="149" t="s">
        <v>118</v>
      </c>
      <c r="E146" s="152" t="s">
        <v>142</v>
      </c>
      <c r="F146" s="154" t="s">
        <v>398</v>
      </c>
      <c r="G146" s="144" t="str">
        <f t="shared" si="42"/>
        <v>196907131995011001</v>
      </c>
      <c r="H146" s="144" t="str">
        <f t="shared" si="43"/>
        <v>Penata Tingkat I / III/d</v>
      </c>
      <c r="I146" s="150" t="str">
        <f t="shared" si="44"/>
        <v>Ketua Jurusan Teknik Kelistrikan Kapal</v>
      </c>
      <c r="J146" s="153" t="str">
        <f t="shared" si="45"/>
        <v>Dr. Eng. Muh. Anis Mustaghfirin, ST., MT.</v>
      </c>
      <c r="K146" s="145" t="str">
        <f t="shared" si="46"/>
        <v>197208051997021001</v>
      </c>
      <c r="L146" s="145" t="str">
        <f t="shared" si="47"/>
        <v>Penata Tingkat I / III/d</v>
      </c>
      <c r="M146" s="145" t="str">
        <f t="shared" si="48"/>
        <v>Wakil Direktur I</v>
      </c>
      <c r="N146" s="148">
        <v>147</v>
      </c>
    </row>
    <row r="147" spans="1:14" s="147" customFormat="1" ht="17.25" customHeight="1">
      <c r="A147" s="152" t="s">
        <v>328</v>
      </c>
      <c r="B147" s="145" t="s">
        <v>329</v>
      </c>
      <c r="C147" s="145" t="str">
        <f t="shared" si="35"/>
        <v>Penata Tingkat I / III/d</v>
      </c>
      <c r="D147" s="149" t="s">
        <v>123</v>
      </c>
      <c r="E147" s="152" t="s">
        <v>155</v>
      </c>
      <c r="F147" s="154" t="s">
        <v>215</v>
      </c>
      <c r="G147" s="144" t="str">
        <f t="shared" si="42"/>
        <v>197605172009121003</v>
      </c>
      <c r="H147" s="144" t="str">
        <f t="shared" si="43"/>
        <v>Penata / III/c</v>
      </c>
      <c r="I147" s="150" t="str">
        <f t="shared" si="44"/>
        <v>Ketua Jurusan Teknik Permesinan Kapal</v>
      </c>
      <c r="J147" s="153" t="str">
        <f t="shared" si="45"/>
        <v>Dr. Eng. Muh. Anis Mustaghfirin, ST., MT.</v>
      </c>
      <c r="K147" s="145" t="str">
        <f t="shared" si="46"/>
        <v>197208051997021001</v>
      </c>
      <c r="L147" s="145" t="str">
        <f t="shared" si="47"/>
        <v>Penata Tingkat I / III/d</v>
      </c>
      <c r="M147" s="145" t="str">
        <f t="shared" si="48"/>
        <v>Wakil Direktur I</v>
      </c>
      <c r="N147" s="148">
        <v>148</v>
      </c>
    </row>
    <row r="148" spans="1:14" s="147" customFormat="1" ht="17.25" customHeight="1">
      <c r="A148" s="152" t="s">
        <v>399</v>
      </c>
      <c r="B148" s="145" t="s">
        <v>330</v>
      </c>
      <c r="C148" s="145" t="str">
        <f t="shared" si="35"/>
        <v>Pembina / IV/a</v>
      </c>
      <c r="D148" s="149" t="s">
        <v>130</v>
      </c>
      <c r="E148" s="152" t="s">
        <v>164</v>
      </c>
      <c r="F148" s="154" t="s">
        <v>215</v>
      </c>
      <c r="G148" s="144" t="str">
        <f t="shared" si="42"/>
        <v>197605172009121003</v>
      </c>
      <c r="H148" s="144" t="str">
        <f t="shared" si="43"/>
        <v>Penata / III/c</v>
      </c>
      <c r="I148" s="150" t="str">
        <f t="shared" si="44"/>
        <v>Ketua Jurusan Teknik Permesinan Kapal</v>
      </c>
      <c r="J148" s="153" t="str">
        <f t="shared" si="45"/>
        <v>Dr. Eng. Muh. Anis Mustaghfirin, ST., MT.</v>
      </c>
      <c r="K148" s="145" t="str">
        <f t="shared" si="46"/>
        <v>197208051997021001</v>
      </c>
      <c r="L148" s="145" t="str">
        <f t="shared" si="47"/>
        <v>Penata Tingkat I / III/d</v>
      </c>
      <c r="M148" s="145" t="str">
        <f t="shared" si="48"/>
        <v>Wakil Direktur I</v>
      </c>
      <c r="N148" s="148">
        <v>149</v>
      </c>
    </row>
    <row r="149" spans="1:14" s="147" customFormat="1" ht="17.25" customHeight="1">
      <c r="A149" s="152" t="s">
        <v>434</v>
      </c>
      <c r="B149" s="145" t="s">
        <v>465</v>
      </c>
      <c r="C149" s="145" t="str">
        <f t="shared" si="35"/>
        <v>Penata Muda Tingkat I / III/b</v>
      </c>
      <c r="D149" s="149" t="s">
        <v>118</v>
      </c>
      <c r="E149" s="152" t="s">
        <v>136</v>
      </c>
      <c r="F149" s="154" t="s">
        <v>410</v>
      </c>
      <c r="G149" s="144" t="str">
        <f t="shared" si="42"/>
        <v>196910151995011001</v>
      </c>
      <c r="H149" s="144" t="str">
        <f t="shared" si="43"/>
        <v>Penata Tingkat I / III/d</v>
      </c>
      <c r="I149" s="150" t="str">
        <f t="shared" si="44"/>
        <v>Ketua Jurusan Teknik Bangunan Kapal</v>
      </c>
      <c r="J149" s="153" t="str">
        <f t="shared" si="45"/>
        <v>Dr. Eng. Muh. Anis Mustaghfirin, ST., MT.</v>
      </c>
      <c r="K149" s="145" t="str">
        <f t="shared" si="46"/>
        <v>197208051997021001</v>
      </c>
      <c r="L149" s="145" t="str">
        <f t="shared" si="47"/>
        <v>Penata Tingkat I / III/d</v>
      </c>
      <c r="M149" s="145" t="str">
        <f t="shared" si="48"/>
        <v>Wakil Direktur I</v>
      </c>
      <c r="N149" s="148">
        <v>150</v>
      </c>
    </row>
    <row r="150" spans="1:14" s="147" customFormat="1" ht="17.25" customHeight="1">
      <c r="A150" s="152" t="s">
        <v>331</v>
      </c>
      <c r="B150" s="145" t="s">
        <v>332</v>
      </c>
      <c r="C150" s="145" t="str">
        <f t="shared" si="35"/>
        <v>Penata Muda Tingkat I / III/b</v>
      </c>
      <c r="D150" s="149" t="s">
        <v>118</v>
      </c>
      <c r="E150" s="152" t="s">
        <v>142</v>
      </c>
      <c r="F150" s="154" t="s">
        <v>215</v>
      </c>
      <c r="G150" s="144" t="str">
        <f t="shared" si="42"/>
        <v>197605172009121003</v>
      </c>
      <c r="H150" s="144" t="str">
        <f t="shared" si="43"/>
        <v>Penata / III/c</v>
      </c>
      <c r="I150" s="150" t="str">
        <f t="shared" si="44"/>
        <v>Ketua Jurusan Teknik Permesinan Kapal</v>
      </c>
      <c r="J150" s="153" t="str">
        <f t="shared" si="45"/>
        <v>Dr. Eng. Muh. Anis Mustaghfirin, ST., MT.</v>
      </c>
      <c r="K150" s="145" t="str">
        <f t="shared" si="46"/>
        <v>197208051997021001</v>
      </c>
      <c r="L150" s="145" t="str">
        <f t="shared" si="47"/>
        <v>Penata Tingkat I / III/d</v>
      </c>
      <c r="M150" s="145" t="str">
        <f t="shared" si="48"/>
        <v>Wakil Direktur I</v>
      </c>
      <c r="N150" s="148">
        <v>151</v>
      </c>
    </row>
    <row r="151" spans="1:14" s="147" customFormat="1" ht="17.25" customHeight="1">
      <c r="A151" s="152" t="s">
        <v>333</v>
      </c>
      <c r="B151" s="145" t="s">
        <v>334</v>
      </c>
      <c r="C151" s="145" t="str">
        <f t="shared" si="35"/>
        <v>Penata Muda Tingkat I / III/b</v>
      </c>
      <c r="D151" s="149" t="s">
        <v>118</v>
      </c>
      <c r="E151" s="152" t="s">
        <v>142</v>
      </c>
      <c r="F151" s="154" t="s">
        <v>215</v>
      </c>
      <c r="G151" s="144" t="str">
        <f t="shared" si="42"/>
        <v>197605172009121003</v>
      </c>
      <c r="H151" s="144" t="str">
        <f t="shared" si="43"/>
        <v>Penata / III/c</v>
      </c>
      <c r="I151" s="150" t="str">
        <f t="shared" si="44"/>
        <v>Ketua Jurusan Teknik Permesinan Kapal</v>
      </c>
      <c r="J151" s="153" t="str">
        <f t="shared" si="45"/>
        <v>Dr. Eng. Muh. Anis Mustaghfirin, ST., MT.</v>
      </c>
      <c r="K151" s="145" t="str">
        <f t="shared" si="46"/>
        <v>197208051997021001</v>
      </c>
      <c r="L151" s="145" t="str">
        <f t="shared" si="47"/>
        <v>Penata Tingkat I / III/d</v>
      </c>
      <c r="M151" s="145" t="str">
        <f t="shared" si="48"/>
        <v>Wakil Direktur I</v>
      </c>
      <c r="N151" s="148">
        <v>152</v>
      </c>
    </row>
    <row r="152" spans="1:14" s="147" customFormat="1" ht="17.25" customHeight="1">
      <c r="A152" s="152" t="s">
        <v>335</v>
      </c>
      <c r="B152" s="145" t="s">
        <v>336</v>
      </c>
      <c r="C152" s="145" t="str">
        <f t="shared" si="35"/>
        <v>Penata Muda Tingkat I / III/b</v>
      </c>
      <c r="D152" s="149" t="s">
        <v>118</v>
      </c>
      <c r="E152" s="152" t="s">
        <v>142</v>
      </c>
      <c r="F152" s="154" t="s">
        <v>215</v>
      </c>
      <c r="G152" s="144" t="str">
        <f t="shared" si="42"/>
        <v>197605172009121003</v>
      </c>
      <c r="H152" s="144" t="str">
        <f t="shared" si="43"/>
        <v>Penata / III/c</v>
      </c>
      <c r="I152" s="150" t="str">
        <f t="shared" si="44"/>
        <v>Ketua Jurusan Teknik Permesinan Kapal</v>
      </c>
      <c r="J152" s="153" t="str">
        <f t="shared" si="45"/>
        <v>Dr. Eng. Muh. Anis Mustaghfirin, ST., MT.</v>
      </c>
      <c r="K152" s="145" t="str">
        <f t="shared" si="46"/>
        <v>197208051997021001</v>
      </c>
      <c r="L152" s="145" t="str">
        <f t="shared" si="47"/>
        <v>Penata Tingkat I / III/d</v>
      </c>
      <c r="M152" s="145" t="str">
        <f t="shared" si="48"/>
        <v>Wakil Direktur I</v>
      </c>
      <c r="N152" s="148">
        <v>153</v>
      </c>
    </row>
    <row r="153" spans="1:14" s="147" customFormat="1" ht="17.25" customHeight="1">
      <c r="A153" s="152" t="s">
        <v>337</v>
      </c>
      <c r="B153" s="145" t="s">
        <v>338</v>
      </c>
      <c r="C153" s="145" t="str">
        <f t="shared" si="35"/>
        <v>Pembina / IV/a</v>
      </c>
      <c r="D153" s="149" t="s">
        <v>130</v>
      </c>
      <c r="E153" s="152" t="s">
        <v>164</v>
      </c>
      <c r="F153" s="154" t="s">
        <v>410</v>
      </c>
      <c r="G153" s="144" t="str">
        <f t="shared" si="42"/>
        <v>196910151995011001</v>
      </c>
      <c r="H153" s="144" t="str">
        <f t="shared" si="43"/>
        <v>Penata Tingkat I / III/d</v>
      </c>
      <c r="I153" s="150" t="str">
        <f t="shared" si="44"/>
        <v>Ketua Jurusan Teknik Bangunan Kapal</v>
      </c>
      <c r="J153" s="153" t="str">
        <f t="shared" si="45"/>
        <v>Dr. Eng. Muh. Anis Mustaghfirin, ST., MT.</v>
      </c>
      <c r="K153" s="145" t="str">
        <f t="shared" si="46"/>
        <v>197208051997021001</v>
      </c>
      <c r="L153" s="145" t="str">
        <f t="shared" si="47"/>
        <v>Penata Tingkat I / III/d</v>
      </c>
      <c r="M153" s="145" t="str">
        <f t="shared" si="48"/>
        <v>Wakil Direktur I</v>
      </c>
      <c r="N153" s="148">
        <v>154</v>
      </c>
    </row>
    <row r="154" spans="1:14" s="147" customFormat="1" ht="17.25" customHeight="1">
      <c r="A154" s="152" t="s">
        <v>339</v>
      </c>
      <c r="B154" s="145" t="s">
        <v>340</v>
      </c>
      <c r="C154" s="145" t="str">
        <f t="shared" si="35"/>
        <v>Penata Tingkat I / III/d</v>
      </c>
      <c r="D154" s="149" t="s">
        <v>123</v>
      </c>
      <c r="E154" s="152" t="s">
        <v>133</v>
      </c>
      <c r="F154" s="154" t="s">
        <v>410</v>
      </c>
      <c r="G154" s="144" t="str">
        <f t="shared" si="42"/>
        <v>196910151995011001</v>
      </c>
      <c r="H154" s="144" t="str">
        <f t="shared" si="43"/>
        <v>Penata Tingkat I / III/d</v>
      </c>
      <c r="I154" s="150" t="str">
        <f t="shared" si="44"/>
        <v>Ketua Jurusan Teknik Bangunan Kapal</v>
      </c>
      <c r="J154" s="153" t="str">
        <f t="shared" si="45"/>
        <v>Dr. Eng. Muh. Anis Mustaghfirin, ST., MT.</v>
      </c>
      <c r="K154" s="145" t="str">
        <f t="shared" si="46"/>
        <v>197208051997021001</v>
      </c>
      <c r="L154" s="145" t="str">
        <f t="shared" si="47"/>
        <v>Penata Tingkat I / III/d</v>
      </c>
      <c r="M154" s="145" t="str">
        <f t="shared" si="48"/>
        <v>Wakil Direktur I</v>
      </c>
      <c r="N154" s="148">
        <v>155</v>
      </c>
    </row>
    <row r="155" spans="1:14" s="147" customFormat="1" ht="17.25" customHeight="1">
      <c r="A155" s="152" t="s">
        <v>400</v>
      </c>
      <c r="B155" s="145" t="s">
        <v>341</v>
      </c>
      <c r="C155" s="145" t="str">
        <f t="shared" si="35"/>
        <v>Penata Muda Tingkat I / III/b</v>
      </c>
      <c r="D155" s="149" t="s">
        <v>118</v>
      </c>
      <c r="E155" s="152" t="s">
        <v>142</v>
      </c>
      <c r="F155" s="154" t="s">
        <v>215</v>
      </c>
      <c r="G155" s="144" t="str">
        <f t="shared" si="42"/>
        <v>197605172009121003</v>
      </c>
      <c r="H155" s="144" t="str">
        <f t="shared" si="43"/>
        <v>Penata / III/c</v>
      </c>
      <c r="I155" s="150" t="str">
        <f t="shared" si="44"/>
        <v>Ketua Jurusan Teknik Permesinan Kapal</v>
      </c>
      <c r="J155" s="153" t="str">
        <f t="shared" si="45"/>
        <v>Dr. Eng. Muh. Anis Mustaghfirin, ST., MT.</v>
      </c>
      <c r="K155" s="145" t="str">
        <f t="shared" si="46"/>
        <v>197208051997021001</v>
      </c>
      <c r="L155" s="145" t="str">
        <f t="shared" si="47"/>
        <v>Penata Tingkat I / III/d</v>
      </c>
      <c r="M155" s="145" t="str">
        <f t="shared" si="48"/>
        <v>Wakil Direktur I</v>
      </c>
      <c r="N155" s="148">
        <v>156</v>
      </c>
    </row>
    <row r="156" spans="1:14" s="147" customFormat="1" ht="17.25" customHeight="1">
      <c r="A156" s="152" t="s">
        <v>342</v>
      </c>
      <c r="B156" s="145" t="s">
        <v>343</v>
      </c>
      <c r="C156" s="145" t="str">
        <f t="shared" si="35"/>
        <v>Pembina / IV/a</v>
      </c>
      <c r="D156" s="149" t="s">
        <v>130</v>
      </c>
      <c r="E156" s="152" t="s">
        <v>164</v>
      </c>
      <c r="F156" s="154" t="s">
        <v>398</v>
      </c>
      <c r="G156" s="144" t="str">
        <f t="shared" si="42"/>
        <v>196907131995011001</v>
      </c>
      <c r="H156" s="144" t="str">
        <f t="shared" si="43"/>
        <v>Penata Tingkat I / III/d</v>
      </c>
      <c r="I156" s="150" t="str">
        <f t="shared" si="44"/>
        <v>Ketua Jurusan Teknik Kelistrikan Kapal</v>
      </c>
      <c r="J156" s="153" t="str">
        <f t="shared" si="45"/>
        <v>Dr. Eng. Muh. Anis Mustaghfirin, ST., MT.</v>
      </c>
      <c r="K156" s="145" t="str">
        <f t="shared" si="46"/>
        <v>197208051997021001</v>
      </c>
      <c r="L156" s="145" t="str">
        <f t="shared" si="47"/>
        <v>Penata Tingkat I / III/d</v>
      </c>
      <c r="M156" s="145" t="str">
        <f t="shared" si="48"/>
        <v>Wakil Direktur I</v>
      </c>
      <c r="N156" s="148">
        <v>157</v>
      </c>
    </row>
    <row r="157" spans="1:14" s="147" customFormat="1" ht="17.25" customHeight="1">
      <c r="A157" s="152" t="s">
        <v>344</v>
      </c>
      <c r="B157" s="145" t="s">
        <v>345</v>
      </c>
      <c r="C157" s="145" t="str">
        <f t="shared" si="35"/>
        <v>Pembina / IV/a</v>
      </c>
      <c r="D157" s="149" t="s">
        <v>130</v>
      </c>
      <c r="E157" s="152" t="s">
        <v>164</v>
      </c>
      <c r="F157" s="154" t="s">
        <v>410</v>
      </c>
      <c r="G157" s="144" t="str">
        <f t="shared" si="42"/>
        <v>196910151995011001</v>
      </c>
      <c r="H157" s="144" t="str">
        <f t="shared" si="43"/>
        <v>Penata Tingkat I / III/d</v>
      </c>
      <c r="I157" s="150" t="str">
        <f t="shared" si="44"/>
        <v>Ketua Jurusan Teknik Bangunan Kapal</v>
      </c>
      <c r="J157" s="153" t="str">
        <f t="shared" si="45"/>
        <v>Dr. Eng. Muh. Anis Mustaghfirin, ST., MT.</v>
      </c>
      <c r="K157" s="145" t="str">
        <f t="shared" si="46"/>
        <v>197208051997021001</v>
      </c>
      <c r="L157" s="145" t="str">
        <f t="shared" si="47"/>
        <v>Penata Tingkat I / III/d</v>
      </c>
      <c r="M157" s="145" t="str">
        <f t="shared" si="48"/>
        <v>Wakil Direktur I</v>
      </c>
      <c r="N157" s="148">
        <v>158</v>
      </c>
    </row>
    <row r="158" spans="1:14" s="147" customFormat="1" ht="17.25" customHeight="1">
      <c r="A158" s="152" t="s">
        <v>405</v>
      </c>
      <c r="B158" s="145" t="s">
        <v>346</v>
      </c>
      <c r="C158" s="145" t="str">
        <f t="shared" si="35"/>
        <v>Penata Muda Tingkat I / III/b</v>
      </c>
      <c r="D158" s="149" t="s">
        <v>118</v>
      </c>
      <c r="E158" s="152" t="s">
        <v>142</v>
      </c>
      <c r="F158" s="154" t="s">
        <v>215</v>
      </c>
      <c r="G158" s="144" t="str">
        <f t="shared" si="42"/>
        <v>197605172009121003</v>
      </c>
      <c r="H158" s="144" t="str">
        <f t="shared" si="43"/>
        <v>Penata / III/c</v>
      </c>
      <c r="I158" s="150" t="str">
        <f t="shared" si="44"/>
        <v>Ketua Jurusan Teknik Permesinan Kapal</v>
      </c>
      <c r="J158" s="153" t="str">
        <f t="shared" si="45"/>
        <v>Dr. Eng. Muh. Anis Mustaghfirin, ST., MT.</v>
      </c>
      <c r="K158" s="145" t="str">
        <f t="shared" si="46"/>
        <v>197208051997021001</v>
      </c>
      <c r="L158" s="145" t="str">
        <f t="shared" si="47"/>
        <v>Penata Tingkat I / III/d</v>
      </c>
      <c r="M158" s="145" t="str">
        <f t="shared" si="48"/>
        <v>Wakil Direktur I</v>
      </c>
      <c r="N158" s="148">
        <v>159</v>
      </c>
    </row>
    <row r="159" spans="1:14" s="147" customFormat="1" ht="17.25" customHeight="1">
      <c r="A159" s="152" t="s">
        <v>347</v>
      </c>
      <c r="B159" s="145" t="s">
        <v>348</v>
      </c>
      <c r="C159" s="145" t="str">
        <f t="shared" si="35"/>
        <v>Penata / III/c</v>
      </c>
      <c r="D159" s="149" t="s">
        <v>117</v>
      </c>
      <c r="E159" s="152" t="s">
        <v>133</v>
      </c>
      <c r="F159" s="154" t="s">
        <v>215</v>
      </c>
      <c r="G159" s="144" t="str">
        <f t="shared" si="42"/>
        <v>197605172009121003</v>
      </c>
      <c r="H159" s="144" t="str">
        <f t="shared" si="43"/>
        <v>Penata / III/c</v>
      </c>
      <c r="I159" s="150" t="str">
        <f t="shared" si="44"/>
        <v>Ketua Jurusan Teknik Permesinan Kapal</v>
      </c>
      <c r="J159" s="153" t="str">
        <f t="shared" si="45"/>
        <v>Dr. Eng. Muh. Anis Mustaghfirin, ST., MT.</v>
      </c>
      <c r="K159" s="145" t="str">
        <f t="shared" si="46"/>
        <v>197208051997021001</v>
      </c>
      <c r="L159" s="145" t="str">
        <f t="shared" si="47"/>
        <v>Penata Tingkat I / III/d</v>
      </c>
      <c r="M159" s="145" t="str">
        <f t="shared" si="48"/>
        <v>Wakil Direktur I</v>
      </c>
      <c r="N159" s="148">
        <v>160</v>
      </c>
    </row>
    <row r="160" spans="1:14" s="147" customFormat="1" ht="17.25" customHeight="1">
      <c r="A160" s="152" t="s">
        <v>349</v>
      </c>
      <c r="B160" s="145" t="s">
        <v>350</v>
      </c>
      <c r="C160" s="145" t="str">
        <f t="shared" si="35"/>
        <v>Penata / III/c</v>
      </c>
      <c r="D160" s="149" t="s">
        <v>117</v>
      </c>
      <c r="E160" s="152" t="s">
        <v>155</v>
      </c>
      <c r="F160" s="154" t="s">
        <v>215</v>
      </c>
      <c r="G160" s="144" t="str">
        <f t="shared" si="42"/>
        <v>197605172009121003</v>
      </c>
      <c r="H160" s="144" t="str">
        <f t="shared" si="43"/>
        <v>Penata / III/c</v>
      </c>
      <c r="I160" s="150" t="str">
        <f t="shared" si="44"/>
        <v>Ketua Jurusan Teknik Permesinan Kapal</v>
      </c>
      <c r="J160" s="153" t="str">
        <f t="shared" si="45"/>
        <v>Dr. Eng. Muh. Anis Mustaghfirin, ST., MT.</v>
      </c>
      <c r="K160" s="145" t="str">
        <f t="shared" si="46"/>
        <v>197208051997021001</v>
      </c>
      <c r="L160" s="145" t="str">
        <f t="shared" si="47"/>
        <v>Penata Tingkat I / III/d</v>
      </c>
      <c r="M160" s="145" t="str">
        <f t="shared" si="48"/>
        <v>Wakil Direktur I</v>
      </c>
      <c r="N160" s="148">
        <v>161</v>
      </c>
    </row>
    <row r="161" spans="1:14" s="147" customFormat="1" ht="17.25" customHeight="1">
      <c r="A161" s="152" t="s">
        <v>464</v>
      </c>
      <c r="B161" s="145" t="s">
        <v>495</v>
      </c>
      <c r="C161" s="145" t="str">
        <f t="shared" si="35"/>
        <v>Penata Muda Tingkat I / III/b</v>
      </c>
      <c r="D161" s="149" t="s">
        <v>118</v>
      </c>
      <c r="E161" s="152" t="s">
        <v>136</v>
      </c>
      <c r="F161" s="154" t="s">
        <v>215</v>
      </c>
      <c r="G161" s="144" t="str">
        <f t="shared" si="42"/>
        <v>197605172009121003</v>
      </c>
      <c r="H161" s="144" t="str">
        <f t="shared" si="43"/>
        <v>Penata / III/c</v>
      </c>
      <c r="I161" s="150" t="str">
        <f t="shared" si="44"/>
        <v>Ketua Jurusan Teknik Permesinan Kapal</v>
      </c>
      <c r="J161" s="153" t="str">
        <f t="shared" si="45"/>
        <v>Dr. Eng. Muh. Anis Mustaghfirin, ST., MT.</v>
      </c>
      <c r="K161" s="145" t="str">
        <f t="shared" si="46"/>
        <v>197208051997021001</v>
      </c>
      <c r="L161" s="145" t="str">
        <f t="shared" si="47"/>
        <v>Penata Tingkat I / III/d</v>
      </c>
      <c r="M161" s="145" t="str">
        <f t="shared" si="48"/>
        <v>Wakil Direktur I</v>
      </c>
      <c r="N161" s="148">
        <v>162</v>
      </c>
    </row>
    <row r="162" spans="1:14" s="147" customFormat="1" ht="17.25" customHeight="1">
      <c r="A162" s="207" t="s">
        <v>351</v>
      </c>
      <c r="B162" s="207" t="s">
        <v>352</v>
      </c>
      <c r="C162" s="145" t="str">
        <f t="shared" ref="C162:C193" si="49">IF(D162="II/a","Pengatur Muda / II/a",IF(D162="II/b","Pengatur Muda Tingkat I  / II/b",IF(D162="II/c","Pengatur / II/c",IF(D162="II/d","Pengatur Tingkat I / II/d",IF(D162="III/a","Penata Muda / III/a",IF(D162="III/b","Penata Muda Tingkat I / III/b",IF(D162="III/c","Penata / III/c",IF(D162="III/d","Penata Tingkat I / III/d",IF(D162="IV/a","Pembina / IV/a",IF(D162="IV/b","Pembina Tingkat I / IV/b",IF(D162="IV/c","Pembina Utama Muda / IV/c",IF(D162="IV/d","Pembina Utama Madya / IV/d"))))))))))))</f>
        <v>Penata / III/c</v>
      </c>
      <c r="D162" s="149" t="s">
        <v>117</v>
      </c>
      <c r="E162" s="152" t="s">
        <v>155</v>
      </c>
      <c r="F162" s="148" t="s">
        <v>215</v>
      </c>
      <c r="G162" s="144" t="str">
        <f t="shared" ref="G162:G164" si="50">VLOOKUP(F162,$P$2:$W$28,2,FALSE)</f>
        <v>197605172009121003</v>
      </c>
      <c r="H162" s="144" t="str">
        <f t="shared" ref="H162:H164" si="51">VLOOKUP(F162,$P$2:$W$28,3,FALSE)</f>
        <v>Penata / III/c</v>
      </c>
      <c r="I162" s="150" t="str">
        <f t="shared" ref="I162:I164" si="52">VLOOKUP(F162,$P$2:$W$28,4,FALSE)</f>
        <v>Ketua Jurusan Teknik Permesinan Kapal</v>
      </c>
      <c r="J162" s="153" t="str">
        <f t="shared" ref="J162:J164" si="53">VLOOKUP(F162,$P$2:$W$28,5,FALSE)</f>
        <v>Dr. Eng. Muh. Anis Mustaghfirin, ST., MT.</v>
      </c>
      <c r="K162" s="145" t="str">
        <f t="shared" ref="K162:K164" si="54">VLOOKUP(F162,$P$2:$W$28,6,FALSE)</f>
        <v>197208051997021001</v>
      </c>
      <c r="L162" s="145" t="str">
        <f t="shared" ref="L162:L164" si="55">VLOOKUP(F162,$P$2:$W$28,7,FALSE)</f>
        <v>Penata Tingkat I / III/d</v>
      </c>
      <c r="M162" s="145" t="str">
        <f t="shared" ref="M162:M164" si="56">VLOOKUP(F162,$P$2:$W$28,8,FALSE)</f>
        <v>Wakil Direktur I</v>
      </c>
    </row>
    <row r="163" spans="1:14" s="147" customFormat="1" ht="17.25" customHeight="1">
      <c r="A163" s="207" t="s">
        <v>353</v>
      </c>
      <c r="B163" s="207" t="s">
        <v>354</v>
      </c>
      <c r="C163" s="145" t="str">
        <f t="shared" si="49"/>
        <v>Penata Muda Tingkat I / III/b</v>
      </c>
      <c r="D163" s="210" t="s">
        <v>118</v>
      </c>
      <c r="E163" s="152" t="s">
        <v>142</v>
      </c>
      <c r="F163" s="148" t="s">
        <v>410</v>
      </c>
      <c r="G163" s="144" t="str">
        <f t="shared" si="50"/>
        <v>196910151995011001</v>
      </c>
      <c r="H163" s="144" t="str">
        <f t="shared" si="51"/>
        <v>Penata Tingkat I / III/d</v>
      </c>
      <c r="I163" s="150" t="str">
        <f t="shared" si="52"/>
        <v>Ketua Jurusan Teknik Bangunan Kapal</v>
      </c>
      <c r="J163" s="153" t="str">
        <f t="shared" si="53"/>
        <v>Dr. Eng. Muh. Anis Mustaghfirin, ST., MT.</v>
      </c>
      <c r="K163" s="145" t="str">
        <f t="shared" si="54"/>
        <v>197208051997021001</v>
      </c>
      <c r="L163" s="145" t="str">
        <f t="shared" si="55"/>
        <v>Penata Tingkat I / III/d</v>
      </c>
      <c r="M163" s="145" t="str">
        <f t="shared" si="56"/>
        <v>Wakil Direktur I</v>
      </c>
    </row>
    <row r="164" spans="1:14" s="147" customFormat="1" ht="17.25" customHeight="1">
      <c r="A164" s="207" t="s">
        <v>355</v>
      </c>
      <c r="B164" s="207" t="s">
        <v>356</v>
      </c>
      <c r="C164" s="145" t="str">
        <f t="shared" si="49"/>
        <v>Penata / III/c</v>
      </c>
      <c r="D164" s="210" t="s">
        <v>117</v>
      </c>
      <c r="E164" s="152" t="s">
        <v>155</v>
      </c>
      <c r="F164" s="154" t="s">
        <v>410</v>
      </c>
      <c r="G164" s="144" t="str">
        <f t="shared" si="50"/>
        <v>196910151995011001</v>
      </c>
      <c r="H164" s="144" t="str">
        <f t="shared" si="51"/>
        <v>Penata Tingkat I / III/d</v>
      </c>
      <c r="I164" s="150" t="str">
        <f t="shared" si="52"/>
        <v>Ketua Jurusan Teknik Bangunan Kapal</v>
      </c>
      <c r="J164" s="153" t="str">
        <f t="shared" si="53"/>
        <v>Dr. Eng. Muh. Anis Mustaghfirin, ST., MT.</v>
      </c>
      <c r="K164" s="145" t="str">
        <f t="shared" si="54"/>
        <v>197208051997021001</v>
      </c>
      <c r="L164" s="145" t="str">
        <f t="shared" si="55"/>
        <v>Penata Tingkat I / III/d</v>
      </c>
      <c r="M164" s="145" t="str">
        <f t="shared" si="56"/>
        <v>Wakil Direktur I</v>
      </c>
    </row>
    <row r="165" spans="1:14" s="147" customFormat="1" ht="17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1:14" s="147" customFormat="1" ht="17.2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1:14" s="147" customFormat="1" ht="17.2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1:14" s="147" customFormat="1" ht="17.2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1:14" s="147" customFormat="1" ht="17.2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1:14" s="147" customFormat="1" ht="17.2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1:14" s="147" customFormat="1" ht="17.2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1:14" s="147" customFormat="1" ht="17.2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1:14" s="147" customFormat="1" ht="17.2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1:14" s="147" customFormat="1" ht="17.2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1:14" s="147" customFormat="1" ht="17.2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1:14" s="147" customFormat="1" ht="17.2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1:13" s="147" customFormat="1" ht="17.2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1:13" s="147" customFormat="1" ht="17.2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1:13" s="147" customFormat="1" ht="17.2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1:13" s="147" customFormat="1" ht="17.2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1:13" s="147" customFormat="1" ht="17.2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1:13" s="147" customFormat="1" ht="17.2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1:13" s="147" customFormat="1" ht="17.2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1:13" s="147" customFormat="1" ht="17.2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1:13" s="147" customFormat="1" ht="17.2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1:13" s="147" customFormat="1" ht="17.2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1:13" s="147" customFormat="1" ht="17.2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1:13" s="147" customFormat="1" ht="17.2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1:13" s="147" customFormat="1" ht="17.2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1:13" s="147" customFormat="1" ht="17.2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1:13" s="147" customFormat="1" ht="17.2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1:13" s="147" customFormat="1" ht="17.2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1:13" s="147" customFormat="1" ht="17.2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1:13" s="147" customFormat="1" ht="17.2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1:13" s="147" customFormat="1" ht="17.2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1:13" s="147" customFormat="1" ht="17.2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1:13" s="147" customFormat="1" ht="17.2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1:13" s="147" customFormat="1" ht="17.2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1:13" s="147" customFormat="1" ht="17.2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1:13" s="147" customFormat="1" ht="17.2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1:13" s="147" customFormat="1" ht="17.2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1:13" s="147" customFormat="1" ht="17.2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1:13" s="147" customFormat="1" ht="17.2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1:13" s="147" customFormat="1" ht="17.2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1:13" s="147" customFormat="1" ht="17.2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s="147" customFormat="1" ht="17.2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1:13" s="147" customFormat="1" ht="17.2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1:13" s="147" customFormat="1" ht="17.2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1:13" s="147" customFormat="1" ht="17.2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1:13" s="147" customFormat="1" ht="17.2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1:13" s="147" customFormat="1" ht="17.2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1:13" s="147" customFormat="1" ht="17.2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1:13" s="147" customFormat="1" ht="17.2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1:13" s="147" customFormat="1" ht="17.2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1:13" s="147" customFormat="1" ht="17.2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1:13" s="147" customFormat="1" ht="17.2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1:13" s="147" customFormat="1" ht="17.2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1:13" s="147" customFormat="1" ht="17.2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1:13" s="147" customFormat="1" ht="17.2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1:13" s="147" customFormat="1" ht="17.2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1:13" s="147" customFormat="1" ht="17.2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1:13" s="147" customFormat="1" ht="17.2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1:13" s="147" customFormat="1" ht="17.2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s="147" customFormat="1" ht="17.2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23" s="147" customFormat="1" ht="17.2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23" s="147" customFormat="1" ht="17.2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23" s="147" customFormat="1" ht="17.2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1:23" s="147" customFormat="1" ht="17.2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1:23" s="147" customFormat="1" ht="17.2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1:23" s="147" customFormat="1" ht="17.2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1:23" s="147" customFormat="1" ht="17.2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1:23" s="147" customFormat="1" ht="17.2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P232" s="143"/>
      <c r="Q232" s="143"/>
      <c r="R232" s="143"/>
      <c r="S232" s="143"/>
      <c r="T232" s="143"/>
      <c r="U232" s="143"/>
      <c r="V232" s="143"/>
      <c r="W232" s="143"/>
    </row>
    <row r="233" spans="1:23" s="147" customFormat="1" ht="17.2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P233" s="143"/>
      <c r="Q233" s="143"/>
      <c r="R233" s="143"/>
      <c r="S233" s="143"/>
      <c r="T233" s="143"/>
      <c r="U233" s="143"/>
      <c r="V233" s="143"/>
      <c r="W233" s="143"/>
    </row>
  </sheetData>
  <sheetProtection password="CF7A" sheet="1" objects="1" scenarios="1"/>
  <sortState ref="A2:F164">
    <sortCondition ref="A2:A164"/>
  </sortState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Marco</cp:lastModifiedBy>
  <cp:lastPrinted>2021-09-28T22:12:12Z</cp:lastPrinted>
  <dcterms:created xsi:type="dcterms:W3CDTF">2010-10-07T03:41:24Z</dcterms:created>
  <dcterms:modified xsi:type="dcterms:W3CDTF">2021-10-07T04:43:01Z</dcterms:modified>
</cp:coreProperties>
</file>